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 codeName="{3D1A710C-6663-3D7B-7F91-EC182F24A4BC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gonzales\Desktop\"/>
    </mc:Choice>
  </mc:AlternateContent>
  <xr:revisionPtr revIDLastSave="0" documentId="8_{1A44C137-B27F-4F43-B63F-6AF2421B2333}" xr6:coauthVersionLast="36" xr6:coauthVersionMax="36" xr10:uidLastSave="{00000000-0000-0000-0000-000000000000}"/>
  <bookViews>
    <workbookView xWindow="0" yWindow="0" windowWidth="38070" windowHeight="14325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91029"/>
</workbook>
</file>

<file path=xl/calcChain.xml><?xml version="1.0" encoding="utf-8"?>
<calcChain xmlns="http://schemas.openxmlformats.org/spreadsheetml/2006/main">
  <c r="C29" i="4" l="1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L338" i="13"/>
  <c r="L337" i="13"/>
  <c r="L336" i="13"/>
  <c r="L335" i="13"/>
  <c r="L334" i="13"/>
  <c r="L333" i="13"/>
  <c r="L332" i="13"/>
  <c r="L331" i="13"/>
  <c r="L330" i="13"/>
  <c r="L329" i="13"/>
  <c r="L328" i="13"/>
  <c r="L327" i="13"/>
  <c r="L326" i="13"/>
  <c r="L325" i="13"/>
  <c r="L324" i="13"/>
  <c r="L323" i="13"/>
  <c r="L322" i="13"/>
  <c r="L321" i="13"/>
  <c r="L320" i="13"/>
  <c r="L319" i="13"/>
  <c r="L318" i="13"/>
  <c r="L317" i="13"/>
  <c r="L316" i="13"/>
  <c r="L315" i="13"/>
  <c r="L314" i="13"/>
  <c r="L313" i="13"/>
  <c r="L312" i="13"/>
  <c r="L311" i="13"/>
  <c r="L310" i="13"/>
  <c r="L309" i="13"/>
  <c r="L308" i="13"/>
  <c r="L307" i="13"/>
  <c r="L306" i="13"/>
  <c r="L305" i="13"/>
  <c r="L304" i="13"/>
  <c r="L303" i="13"/>
  <c r="L302" i="13"/>
  <c r="L301" i="13"/>
  <c r="L300" i="13"/>
  <c r="L29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L266" i="13"/>
  <c r="L265" i="13"/>
  <c r="L264" i="13"/>
  <c r="L263" i="13"/>
  <c r="L262" i="13"/>
  <c r="L261" i="13"/>
  <c r="L260" i="13"/>
  <c r="L259" i="13"/>
  <c r="L258" i="13"/>
  <c r="L257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3" i="13"/>
  <c r="L242" i="13"/>
  <c r="L241" i="13"/>
  <c r="L240" i="13"/>
  <c r="L239" i="13"/>
  <c r="L238" i="13"/>
  <c r="L237" i="13"/>
  <c r="L236" i="13"/>
  <c r="L235" i="13"/>
  <c r="L234" i="13"/>
  <c r="L233" i="13"/>
  <c r="L232" i="13"/>
  <c r="L231" i="13"/>
  <c r="L230" i="13"/>
  <c r="L229" i="13"/>
  <c r="L228" i="13"/>
  <c r="L22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A2" i="20"/>
  <c r="L363" i="1" l="1"/>
  <c r="K363" i="1"/>
  <c r="J363" i="1"/>
  <c r="I363" i="1"/>
  <c r="H362" i="1"/>
  <c r="L361" i="1"/>
  <c r="K361" i="1"/>
  <c r="J361" i="1"/>
  <c r="I361" i="1"/>
  <c r="F19" i="1" l="1"/>
  <c r="E58" i="20" l="1"/>
  <c r="F58" i="20"/>
  <c r="G58" i="20"/>
  <c r="H58" i="20"/>
  <c r="I58" i="20"/>
  <c r="J58" i="20"/>
  <c r="K58" i="20"/>
  <c r="L58" i="20"/>
  <c r="M58" i="20"/>
  <c r="E55" i="20"/>
  <c r="F55" i="20"/>
  <c r="G55" i="20"/>
  <c r="H55" i="20"/>
  <c r="I55" i="20"/>
  <c r="J55" i="20"/>
  <c r="K55" i="20"/>
  <c r="L55" i="20"/>
  <c r="M55" i="20"/>
  <c r="E52" i="20"/>
  <c r="F52" i="20"/>
  <c r="G52" i="20"/>
  <c r="H52" i="20"/>
  <c r="I52" i="20"/>
  <c r="J52" i="20"/>
  <c r="K52" i="20"/>
  <c r="L52" i="20"/>
  <c r="M52" i="20"/>
  <c r="E49" i="20"/>
  <c r="F49" i="20"/>
  <c r="G49" i="20"/>
  <c r="H49" i="20"/>
  <c r="I49" i="20"/>
  <c r="J49" i="20"/>
  <c r="K49" i="20"/>
  <c r="L49" i="20"/>
  <c r="M49" i="20"/>
  <c r="E46" i="20"/>
  <c r="F46" i="20"/>
  <c r="G46" i="20"/>
  <c r="H46" i="20"/>
  <c r="I46" i="20"/>
  <c r="J46" i="20"/>
  <c r="K46" i="20"/>
  <c r="L46" i="20"/>
  <c r="M46" i="20"/>
  <c r="E43" i="20"/>
  <c r="F43" i="20"/>
  <c r="G43" i="20"/>
  <c r="H43" i="20"/>
  <c r="I43" i="20"/>
  <c r="J43" i="20"/>
  <c r="K43" i="20"/>
  <c r="L43" i="20"/>
  <c r="M43" i="20"/>
  <c r="E40" i="20"/>
  <c r="F40" i="20"/>
  <c r="G40" i="20"/>
  <c r="H40" i="20"/>
  <c r="I40" i="20"/>
  <c r="J40" i="20"/>
  <c r="K40" i="20"/>
  <c r="L40" i="20"/>
  <c r="M40" i="20"/>
  <c r="E37" i="20"/>
  <c r="F37" i="20"/>
  <c r="G37" i="20"/>
  <c r="H37" i="20"/>
  <c r="I37" i="20"/>
  <c r="J37" i="20"/>
  <c r="K37" i="20"/>
  <c r="L37" i="20"/>
  <c r="M37" i="20"/>
  <c r="E34" i="20"/>
  <c r="F34" i="20"/>
  <c r="G34" i="20"/>
  <c r="H34" i="20"/>
  <c r="I34" i="20"/>
  <c r="J34" i="20"/>
  <c r="K34" i="20"/>
  <c r="L34" i="20"/>
  <c r="M34" i="20"/>
  <c r="E31" i="20"/>
  <c r="F31" i="20"/>
  <c r="G31" i="20"/>
  <c r="H31" i="20"/>
  <c r="I31" i="20"/>
  <c r="J31" i="20"/>
  <c r="K31" i="20"/>
  <c r="L31" i="20"/>
  <c r="M31" i="20"/>
  <c r="D58" i="20"/>
  <c r="D55" i="20"/>
  <c r="D52" i="20"/>
  <c r="D49" i="20"/>
  <c r="D46" i="20"/>
  <c r="D43" i="20"/>
  <c r="D40" i="20"/>
  <c r="D37" i="20"/>
  <c r="D34" i="20"/>
  <c r="D31" i="20"/>
  <c r="E28" i="20"/>
  <c r="F28" i="20"/>
  <c r="G28" i="20"/>
  <c r="H28" i="20"/>
  <c r="I28" i="20"/>
  <c r="J28" i="20"/>
  <c r="K28" i="20"/>
  <c r="L28" i="20"/>
  <c r="M28" i="20"/>
  <c r="D28" i="20"/>
  <c r="E25" i="20"/>
  <c r="F25" i="20"/>
  <c r="G25" i="20"/>
  <c r="H25" i="20"/>
  <c r="I25" i="20"/>
  <c r="J25" i="20"/>
  <c r="K25" i="20"/>
  <c r="L25" i="20"/>
  <c r="M25" i="20"/>
  <c r="D25" i="20"/>
  <c r="E22" i="20"/>
  <c r="F22" i="20"/>
  <c r="G22" i="20"/>
  <c r="H22" i="20"/>
  <c r="I22" i="20"/>
  <c r="J22" i="20"/>
  <c r="K22" i="20"/>
  <c r="L22" i="20"/>
  <c r="M22" i="20"/>
  <c r="D22" i="20"/>
  <c r="E19" i="20"/>
  <c r="F19" i="20"/>
  <c r="G19" i="20"/>
  <c r="H19" i="20"/>
  <c r="I19" i="20"/>
  <c r="J19" i="20"/>
  <c r="K19" i="20"/>
  <c r="L19" i="20"/>
  <c r="M19" i="20"/>
  <c r="D19" i="20"/>
  <c r="K16" i="20"/>
  <c r="L16" i="20"/>
  <c r="M16" i="20"/>
  <c r="J16" i="20"/>
  <c r="I16" i="20"/>
  <c r="H16" i="20"/>
  <c r="G16" i="20"/>
  <c r="F16" i="20"/>
  <c r="E16" i="20"/>
  <c r="D16" i="20"/>
  <c r="D62" i="20" l="1"/>
  <c r="O18" i="20"/>
  <c r="N15" i="20" l="1"/>
  <c r="E4" i="20"/>
  <c r="E5" i="20"/>
  <c r="E6" i="20"/>
  <c r="E7" i="20"/>
  <c r="E8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C44" i="20" s="1"/>
  <c r="C47" i="20" s="1"/>
  <c r="C50" i="20" s="1"/>
  <c r="C53" i="20" s="1"/>
  <c r="C56" i="20" s="1"/>
  <c r="N42" i="20"/>
  <c r="O42" i="20"/>
  <c r="P42" i="20" s="1"/>
  <c r="Q42" i="20" s="1"/>
  <c r="R42" i="20" s="1"/>
  <c r="S42" i="20" s="1"/>
  <c r="T42" i="20" s="1"/>
  <c r="U42" i="20" s="1"/>
  <c r="N43" i="20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D50" i="20" l="1"/>
  <c r="D47" i="20"/>
  <c r="D44" i="20"/>
  <c r="D53" i="20"/>
  <c r="D59" i="20"/>
  <c r="D56" i="20"/>
  <c r="D41" i="20"/>
  <c r="D38" i="20"/>
  <c r="V57" i="20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D23" i="20"/>
  <c r="E23" i="20" s="1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C20" i="1"/>
  <c r="M49" i="4" s="1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N18" i="4"/>
  <c r="N21" i="4"/>
  <c r="N23" i="4"/>
  <c r="N31" i="4"/>
  <c r="N32" i="4"/>
  <c r="N33" i="4"/>
  <c r="N37" i="4"/>
  <c r="P356" i="1"/>
  <c r="P357" i="1"/>
  <c r="O356" i="1"/>
  <c r="O357" i="1"/>
  <c r="N356" i="1"/>
  <c r="N357" i="1"/>
  <c r="M356" i="1"/>
  <c r="M357" i="1"/>
  <c r="AA7" i="1"/>
  <c r="AA4" i="1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06" i="14" s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107" i="1"/>
  <c r="A97" i="14" s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9" i="1"/>
  <c r="A89" i="14" s="1"/>
  <c r="A98" i="1"/>
  <c r="A88" i="14" s="1"/>
  <c r="A97" i="1"/>
  <c r="A96" i="1"/>
  <c r="A86" i="14" s="1"/>
  <c r="A95" i="1"/>
  <c r="A85" i="14" s="1"/>
  <c r="A94" i="1"/>
  <c r="A84" i="14" s="1"/>
  <c r="A93" i="1"/>
  <c r="A83" i="14" s="1"/>
  <c r="A92" i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84" i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Z7" i="1"/>
  <c r="Y7" i="1"/>
  <c r="X7" i="1"/>
  <c r="W7" i="1"/>
  <c r="Z4" i="1"/>
  <c r="Y4" i="1"/>
  <c r="X4" i="1"/>
  <c r="W4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4" i="14"/>
  <c r="A75" i="14"/>
  <c r="A79" i="14"/>
  <c r="A82" i="14"/>
  <c r="A87" i="14"/>
  <c r="A90" i="14"/>
  <c r="A98" i="14"/>
  <c r="A99" i="14"/>
  <c r="A103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N354" i="1"/>
  <c r="P354" i="1"/>
  <c r="T354" i="1"/>
  <c r="N355" i="1"/>
  <c r="P355" i="1"/>
  <c r="T355" i="1"/>
  <c r="T356" i="1"/>
  <c r="N359" i="1"/>
  <c r="P359" i="1"/>
  <c r="M360" i="1"/>
  <c r="N360" i="1"/>
  <c r="O360" i="1"/>
  <c r="P360" i="1"/>
  <c r="Q360" i="1"/>
  <c r="R360" i="1"/>
  <c r="S360" i="1"/>
  <c r="T360" i="1"/>
  <c r="M361" i="1"/>
  <c r="M362" i="1"/>
  <c r="N362" i="1"/>
  <c r="O362" i="1"/>
  <c r="P362" i="1"/>
  <c r="Q362" i="1"/>
  <c r="R362" i="1"/>
  <c r="S362" i="1"/>
  <c r="T362" i="1"/>
  <c r="P363" i="1"/>
  <c r="M359" i="1"/>
  <c r="O359" i="1"/>
  <c r="Q359" i="1"/>
  <c r="S359" i="1"/>
  <c r="S357" i="1"/>
  <c r="Q356" i="1"/>
  <c r="S356" i="1"/>
  <c r="M355" i="1"/>
  <c r="O355" i="1"/>
  <c r="Q355" i="1"/>
  <c r="S355" i="1"/>
  <c r="M354" i="1"/>
  <c r="O354" i="1"/>
  <c r="Q354" i="1"/>
  <c r="S354" i="1"/>
  <c r="R359" i="1"/>
  <c r="R357" i="1"/>
  <c r="R356" i="1"/>
  <c r="R355" i="1"/>
  <c r="R354" i="1"/>
  <c r="T359" i="1"/>
  <c r="Q357" i="1"/>
  <c r="T357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R361" i="1"/>
  <c r="T361" i="1"/>
  <c r="F75" i="13"/>
  <c r="F83" i="4"/>
  <c r="F149" i="13"/>
  <c r="C83" i="4"/>
  <c r="S361" i="1"/>
  <c r="T363" i="1"/>
  <c r="N363" i="1"/>
  <c r="P361" i="1"/>
  <c r="N361" i="1"/>
  <c r="Q361" i="1"/>
  <c r="O361" i="1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Q363" i="1"/>
  <c r="M363" i="1"/>
  <c r="S363" i="1"/>
  <c r="O363" i="1"/>
  <c r="R363" i="1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265" i="13" l="1"/>
  <c r="B396" i="13"/>
  <c r="B313" i="13"/>
  <c r="J192" i="13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K93" i="13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K105" i="13" s="1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O115" i="13"/>
  <c r="M115" i="13" s="1"/>
  <c r="O113" i="13"/>
  <c r="M113" i="13" s="1"/>
  <c r="O110" i="13"/>
  <c r="M110" i="13" s="1"/>
  <c r="C101" i="13"/>
  <c r="B118" i="1"/>
  <c r="J28" i="1"/>
  <c r="K106" i="1"/>
  <c r="O83" i="13"/>
  <c r="M83" i="13" s="1"/>
  <c r="O103" i="13"/>
  <c r="K103" i="13" s="1"/>
  <c r="O96" i="13"/>
  <c r="M96" i="13" s="1"/>
  <c r="J62" i="1"/>
  <c r="G62" i="1" s="1"/>
  <c r="C116" i="13"/>
  <c r="C103" i="13"/>
  <c r="K91" i="13"/>
  <c r="C89" i="13"/>
  <c r="O119" i="13"/>
  <c r="G191" i="13" s="1"/>
  <c r="C120" i="13"/>
  <c r="O92" i="13"/>
  <c r="M92" i="13" s="1"/>
  <c r="C109" i="13"/>
  <c r="O101" i="13"/>
  <c r="K101" i="13" s="1"/>
  <c r="O90" i="13"/>
  <c r="O95" i="13"/>
  <c r="M95" i="13" s="1"/>
  <c r="C85" i="13"/>
  <c r="O88" i="13"/>
  <c r="C98" i="13"/>
  <c r="C110" i="13"/>
  <c r="O106" i="13"/>
  <c r="C88" i="13"/>
  <c r="C102" i="13"/>
  <c r="O109" i="13"/>
  <c r="M109" i="13" s="1"/>
  <c r="C84" i="13"/>
  <c r="C117" i="13"/>
  <c r="O97" i="13"/>
  <c r="G169" i="13" s="1"/>
  <c r="C113" i="13"/>
  <c r="G193" i="13"/>
  <c r="C193" i="13" s="1"/>
  <c r="C105" i="13"/>
  <c r="C90" i="13"/>
  <c r="C95" i="13"/>
  <c r="N23" i="13"/>
  <c r="E86" i="13"/>
  <c r="C86" i="13"/>
  <c r="O86" i="13"/>
  <c r="E87" i="13"/>
  <c r="C87" i="13"/>
  <c r="O87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D29" i="4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E111" i="13"/>
  <c r="C111" i="13"/>
  <c r="O111" i="13"/>
  <c r="F92" i="1"/>
  <c r="I92" i="1"/>
  <c r="P92" i="1"/>
  <c r="I79" i="1"/>
  <c r="F79" i="1"/>
  <c r="O114" i="13"/>
  <c r="E94" i="13"/>
  <c r="O94" i="13"/>
  <c r="C94" i="13"/>
  <c r="E91" i="13"/>
  <c r="C91" i="13"/>
  <c r="E104" i="13"/>
  <c r="C104" i="13"/>
  <c r="O104" i="13"/>
  <c r="Q83" i="1"/>
  <c r="N83" i="1"/>
  <c r="H137" i="1"/>
  <c r="E100" i="13"/>
  <c r="O100" i="13"/>
  <c r="C100" i="13"/>
  <c r="M93" i="13"/>
  <c r="G165" i="13"/>
  <c r="E99" i="13"/>
  <c r="C99" i="13"/>
  <c r="O99" i="13"/>
  <c r="E93" i="13"/>
  <c r="C93" i="13"/>
  <c r="E108" i="13"/>
  <c r="O108" i="13"/>
  <c r="C108" i="13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C96" i="13"/>
  <c r="O117" i="13"/>
  <c r="K115" i="13"/>
  <c r="C115" i="13"/>
  <c r="I100" i="1"/>
  <c r="F100" i="1"/>
  <c r="L422" i="13"/>
  <c r="L419" i="13"/>
  <c r="L420" i="13"/>
  <c r="C92" i="13"/>
  <c r="O420" i="13"/>
  <c r="O419" i="13"/>
  <c r="O422" i="13"/>
  <c r="C121" i="13"/>
  <c r="K121" i="13"/>
  <c r="K112" i="13"/>
  <c r="C118" i="13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O102" i="13"/>
  <c r="C97" i="13"/>
  <c r="P103" i="1"/>
  <c r="K89" i="13"/>
  <c r="C112" i="13"/>
  <c r="O85" i="13"/>
  <c r="I85" i="1"/>
  <c r="F85" i="1"/>
  <c r="C106" i="13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G192" i="13" l="1"/>
  <c r="B213" i="1"/>
  <c r="B199" i="1"/>
  <c r="B313" i="1"/>
  <c r="B99" i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E184" i="13" s="1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K120" i="13"/>
  <c r="G187" i="13"/>
  <c r="C187" i="13" s="1"/>
  <c r="F90" i="13"/>
  <c r="F113" i="13"/>
  <c r="F88" i="13"/>
  <c r="F110" i="13"/>
  <c r="F98" i="13"/>
  <c r="N91" i="13"/>
  <c r="F116" i="13"/>
  <c r="N103" i="13"/>
  <c r="F95" i="13"/>
  <c r="F105" i="13"/>
  <c r="N105" i="13"/>
  <c r="F85" i="13"/>
  <c r="F109" i="13"/>
  <c r="F89" i="13"/>
  <c r="F103" i="13"/>
  <c r="F101" i="13"/>
  <c r="F122" i="13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K96" i="13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K98" i="13"/>
  <c r="K110" i="13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113" i="13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K95" i="13"/>
  <c r="K109" i="13"/>
  <c r="G185" i="13"/>
  <c r="E185" i="13" s="1"/>
  <c r="K83" i="13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K92" i="13"/>
  <c r="F117" i="13"/>
  <c r="M119" i="13"/>
  <c r="K119" i="13"/>
  <c r="N421" i="13"/>
  <c r="F120" i="13"/>
  <c r="F84" i="13"/>
  <c r="E193" i="13"/>
  <c r="M101" i="13"/>
  <c r="G173" i="13"/>
  <c r="M88" i="13"/>
  <c r="G160" i="13"/>
  <c r="K88" i="13"/>
  <c r="M106" i="13"/>
  <c r="K106" i="13"/>
  <c r="G178" i="13"/>
  <c r="M97" i="13"/>
  <c r="K97" i="13"/>
  <c r="M90" i="13"/>
  <c r="G162" i="13"/>
  <c r="K90" i="13"/>
  <c r="P421" i="13"/>
  <c r="I421" i="13"/>
  <c r="Q82" i="1"/>
  <c r="N82" i="1"/>
  <c r="H136" i="1"/>
  <c r="I160" i="1"/>
  <c r="F160" i="1"/>
  <c r="P160" i="1"/>
  <c r="M107" i="13"/>
  <c r="K107" i="13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O169" i="13"/>
  <c r="Q107" i="1"/>
  <c r="N107" i="1"/>
  <c r="H161" i="1"/>
  <c r="N121" i="13"/>
  <c r="M117" i="13"/>
  <c r="K117" i="13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M100" i="13"/>
  <c r="G172" i="13"/>
  <c r="K100" i="13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Q110" i="1"/>
  <c r="N110" i="1"/>
  <c r="H164" i="1"/>
  <c r="F121" i="13"/>
  <c r="O421" i="13"/>
  <c r="L421" i="13"/>
  <c r="F96" i="13"/>
  <c r="E191" i="13"/>
  <c r="C191" i="13"/>
  <c r="O191" i="13"/>
  <c r="Q94" i="1"/>
  <c r="N94" i="1"/>
  <c r="H148" i="1"/>
  <c r="S148" i="1" s="1"/>
  <c r="M116" i="13"/>
  <c r="G188" i="13"/>
  <c r="K116" i="13"/>
  <c r="Q421" i="13"/>
  <c r="M108" i="13"/>
  <c r="K108" i="13"/>
  <c r="G180" i="13"/>
  <c r="M99" i="13"/>
  <c r="K99" i="13"/>
  <c r="G171" i="13"/>
  <c r="M94" i="13"/>
  <c r="K94" i="13"/>
  <c r="G166" i="13"/>
  <c r="F114" i="13"/>
  <c r="L29" i="4"/>
  <c r="L22" i="4"/>
  <c r="E192" i="13"/>
  <c r="O192" i="13"/>
  <c r="C192" i="13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K85" i="13"/>
  <c r="C184" i="13"/>
  <c r="O184" i="13"/>
  <c r="N103" i="1"/>
  <c r="Q103" i="1"/>
  <c r="H157" i="1"/>
  <c r="M102" i="13"/>
  <c r="K102" i="13"/>
  <c r="G174" i="13"/>
  <c r="M122" i="13"/>
  <c r="G194" i="13"/>
  <c r="K122" i="13"/>
  <c r="F115" i="13"/>
  <c r="Q96" i="1"/>
  <c r="N96" i="1"/>
  <c r="H150" i="1"/>
  <c r="R421" i="13"/>
  <c r="F99" i="13"/>
  <c r="F91" i="13"/>
  <c r="M114" i="13"/>
  <c r="G186" i="13"/>
  <c r="K114" i="13"/>
  <c r="M111" i="13"/>
  <c r="G183" i="13"/>
  <c r="K111" i="13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O163" i="13"/>
  <c r="M87" i="13"/>
  <c r="G159" i="13"/>
  <c r="K87" i="13"/>
  <c r="M86" i="13"/>
  <c r="K86" i="13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K118" i="13"/>
  <c r="F106" i="13"/>
  <c r="F112" i="13"/>
  <c r="F107" i="13"/>
  <c r="M84" i="13"/>
  <c r="K84" i="13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K104" i="13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E182" i="13" l="1"/>
  <c r="C114" i="1"/>
  <c r="C170" i="13"/>
  <c r="F170" i="13" s="1"/>
  <c r="E105" i="1"/>
  <c r="L95" i="14" s="1"/>
  <c r="M95" i="14" s="1"/>
  <c r="C182" i="13"/>
  <c r="K193" i="13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E114" i="1"/>
  <c r="L104" i="14" s="1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N92" i="13"/>
  <c r="N95" i="13"/>
  <c r="N113" i="13"/>
  <c r="N90" i="13"/>
  <c r="N106" i="13"/>
  <c r="N119" i="13"/>
  <c r="N109" i="13"/>
  <c r="N110" i="13"/>
  <c r="C185" i="13"/>
  <c r="C168" i="13"/>
  <c r="O167" i="13"/>
  <c r="M167" i="13" s="1"/>
  <c r="C167" i="13"/>
  <c r="C84" i="1"/>
  <c r="B74" i="14" s="1"/>
  <c r="C111" i="1"/>
  <c r="C101" i="14" s="1"/>
  <c r="C103" i="1"/>
  <c r="C90" i="1"/>
  <c r="O168" i="13"/>
  <c r="M168" i="13" s="1"/>
  <c r="E177" i="13"/>
  <c r="O177" i="13"/>
  <c r="G249" i="13" s="1"/>
  <c r="E249" i="13" s="1"/>
  <c r="C177" i="13"/>
  <c r="I162" i="1"/>
  <c r="C162" i="1" s="1"/>
  <c r="O155" i="13"/>
  <c r="G227" i="13" s="1"/>
  <c r="E227" i="13" s="1"/>
  <c r="O164" i="13"/>
  <c r="K164" i="13" s="1"/>
  <c r="C164" i="13"/>
  <c r="C175" i="13"/>
  <c r="I134" i="1"/>
  <c r="C134" i="1" s="1"/>
  <c r="B14" i="14"/>
  <c r="M25" i="1"/>
  <c r="O181" i="13"/>
  <c r="M181" i="13" s="1"/>
  <c r="C181" i="13"/>
  <c r="O170" i="13"/>
  <c r="K170" i="13" s="1"/>
  <c r="C155" i="13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E162" i="13"/>
  <c r="O162" i="13"/>
  <c r="G234" i="13" s="1"/>
  <c r="C162" i="13"/>
  <c r="E173" i="13"/>
  <c r="O173" i="13"/>
  <c r="G245" i="13" s="1"/>
  <c r="E245" i="13" s="1"/>
  <c r="C173" i="13"/>
  <c r="L27" i="4"/>
  <c r="N97" i="13"/>
  <c r="N88" i="13"/>
  <c r="E178" i="13"/>
  <c r="C178" i="13"/>
  <c r="O178" i="13"/>
  <c r="G250" i="13" s="1"/>
  <c r="E250" i="13" s="1"/>
  <c r="C160" i="13"/>
  <c r="O160" i="13"/>
  <c r="G232" i="13" s="1"/>
  <c r="E232" i="13" s="1"/>
  <c r="E160" i="13"/>
  <c r="N193" i="13"/>
  <c r="I133" i="1"/>
  <c r="F133" i="1"/>
  <c r="Q137" i="1"/>
  <c r="N137" i="1"/>
  <c r="H193" i="1"/>
  <c r="L98" i="1"/>
  <c r="I158" i="1"/>
  <c r="F158" i="1"/>
  <c r="P158" i="1"/>
  <c r="N111" i="13"/>
  <c r="N102" i="13"/>
  <c r="L115" i="1"/>
  <c r="N94" i="13"/>
  <c r="F191" i="13"/>
  <c r="L116" i="1"/>
  <c r="M169" i="13"/>
  <c r="K169" i="13"/>
  <c r="G241" i="13"/>
  <c r="L93" i="1"/>
  <c r="Q160" i="1"/>
  <c r="N160" i="1"/>
  <c r="H216" i="1"/>
  <c r="E190" i="13"/>
  <c r="C190" i="13"/>
  <c r="O190" i="13"/>
  <c r="Q134" i="1"/>
  <c r="N134" i="1"/>
  <c r="H190" i="1"/>
  <c r="S190" i="1" s="1"/>
  <c r="I145" i="1"/>
  <c r="F145" i="1"/>
  <c r="P145" i="1"/>
  <c r="M182" i="13"/>
  <c r="G254" i="13"/>
  <c r="K182" i="13"/>
  <c r="E183" i="13"/>
  <c r="C183" i="13"/>
  <c r="O183" i="13"/>
  <c r="F150" i="1"/>
  <c r="I150" i="1"/>
  <c r="P150" i="1"/>
  <c r="L113" i="1"/>
  <c r="E189" i="13"/>
  <c r="C189" i="13"/>
  <c r="O189" i="13"/>
  <c r="F169" i="13"/>
  <c r="C168" i="1"/>
  <c r="E179" i="13"/>
  <c r="O179" i="13"/>
  <c r="C179" i="13"/>
  <c r="I153" i="1"/>
  <c r="F153" i="1"/>
  <c r="P153" i="1"/>
  <c r="N104" i="13"/>
  <c r="D123" i="13"/>
  <c r="E158" i="13"/>
  <c r="O158" i="13"/>
  <c r="C158" i="13"/>
  <c r="M163" i="13"/>
  <c r="G235" i="13"/>
  <c r="K163" i="13"/>
  <c r="N114" i="13"/>
  <c r="E194" i="13"/>
  <c r="O194" i="13"/>
  <c r="C194" i="13"/>
  <c r="I157" i="1"/>
  <c r="F157" i="1"/>
  <c r="P157" i="1"/>
  <c r="M184" i="13"/>
  <c r="K184" i="13"/>
  <c r="G256" i="13"/>
  <c r="L97" i="1"/>
  <c r="L89" i="1"/>
  <c r="F192" i="13"/>
  <c r="E171" i="13"/>
  <c r="C171" i="13"/>
  <c r="O171" i="13"/>
  <c r="N108" i="13"/>
  <c r="E188" i="13"/>
  <c r="O188" i="13"/>
  <c r="C188" i="13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N118" i="13"/>
  <c r="I171" i="1"/>
  <c r="F171" i="1"/>
  <c r="P171" i="1"/>
  <c r="F139" i="1"/>
  <c r="I139" i="1"/>
  <c r="P139" i="1"/>
  <c r="E159" i="13"/>
  <c r="C159" i="13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N84" i="13"/>
  <c r="K123" i="13"/>
  <c r="L117" i="1"/>
  <c r="L85" i="1"/>
  <c r="K185" i="13"/>
  <c r="N122" i="13"/>
  <c r="E157" i="13"/>
  <c r="C157" i="13"/>
  <c r="O157" i="13"/>
  <c r="I169" i="1"/>
  <c r="F169" i="1"/>
  <c r="P169" i="1"/>
  <c r="E180" i="13"/>
  <c r="C180" i="13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C265" i="13"/>
  <c r="O265" i="13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O186" i="13"/>
  <c r="E174" i="13"/>
  <c r="O174" i="13"/>
  <c r="C174" i="13"/>
  <c r="F184" i="13"/>
  <c r="F151" i="1"/>
  <c r="I151" i="1"/>
  <c r="P151" i="1"/>
  <c r="F143" i="1"/>
  <c r="I143" i="1"/>
  <c r="P143" i="1"/>
  <c r="T143" i="1" s="1"/>
  <c r="K181" i="13"/>
  <c r="M192" i="13"/>
  <c r="G264" i="13"/>
  <c r="K192" i="13"/>
  <c r="E166" i="13"/>
  <c r="C166" i="13"/>
  <c r="O166" i="13"/>
  <c r="N99" i="13"/>
  <c r="F148" i="1"/>
  <c r="I148" i="1"/>
  <c r="P148" i="1"/>
  <c r="T148" i="1" s="1"/>
  <c r="M191" i="13"/>
  <c r="G263" i="13"/>
  <c r="K191" i="13"/>
  <c r="M161" i="13"/>
  <c r="G233" i="13"/>
  <c r="K161" i="13"/>
  <c r="L111" i="1"/>
  <c r="L87" i="1"/>
  <c r="E172" i="13"/>
  <c r="O172" i="13"/>
  <c r="C172" i="13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G105" i="1" l="1"/>
  <c r="F182" i="13"/>
  <c r="K168" i="13"/>
  <c r="O245" i="13"/>
  <c r="C249" i="13"/>
  <c r="O249" i="13"/>
  <c r="M185" i="13"/>
  <c r="G259" i="13"/>
  <c r="O259" i="13" s="1"/>
  <c r="M259" i="13" s="1"/>
  <c r="O227" i="13"/>
  <c r="G299" i="13" s="1"/>
  <c r="C227" i="13"/>
  <c r="F227" i="13" s="1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F162" i="13"/>
  <c r="N170" i="13"/>
  <c r="F175" i="13"/>
  <c r="F160" i="13"/>
  <c r="F178" i="13"/>
  <c r="F173" i="13"/>
  <c r="N187" i="13"/>
  <c r="F181" i="13"/>
  <c r="F164" i="13"/>
  <c r="F177" i="13"/>
  <c r="C245" i="13"/>
  <c r="K167" i="13"/>
  <c r="G240" i="13"/>
  <c r="E240" i="13" s="1"/>
  <c r="E111" i="1"/>
  <c r="L101" i="14" s="1"/>
  <c r="M101" i="14" s="1"/>
  <c r="E84" i="1"/>
  <c r="L74" i="14" s="1"/>
  <c r="M74" i="14" s="1"/>
  <c r="M177" i="13"/>
  <c r="K177" i="13"/>
  <c r="K155" i="13"/>
  <c r="M155" i="13"/>
  <c r="E80" i="1"/>
  <c r="C70" i="14"/>
  <c r="B125" i="14"/>
  <c r="C125" i="14"/>
  <c r="L14" i="14"/>
  <c r="M14" i="14" s="1"/>
  <c r="N25" i="1"/>
  <c r="G242" i="13"/>
  <c r="M170" i="13"/>
  <c r="C232" i="13"/>
  <c r="C250" i="13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O232" i="13"/>
  <c r="M232" i="13" s="1"/>
  <c r="O250" i="13"/>
  <c r="K250" i="13" s="1"/>
  <c r="K175" i="13"/>
  <c r="M160" i="13"/>
  <c r="K160" i="13"/>
  <c r="K178" i="13"/>
  <c r="M178" i="13"/>
  <c r="K162" i="13"/>
  <c r="M162" i="13"/>
  <c r="K173" i="13"/>
  <c r="M173" i="13"/>
  <c r="F172" i="13"/>
  <c r="E263" i="13"/>
  <c r="O263" i="13"/>
  <c r="C263" i="13"/>
  <c r="M166" i="13"/>
  <c r="G238" i="13"/>
  <c r="K166" i="13"/>
  <c r="F174" i="13"/>
  <c r="F17" i="4"/>
  <c r="F157" i="13"/>
  <c r="N164" i="13"/>
  <c r="C161" i="1"/>
  <c r="C171" i="1"/>
  <c r="I224" i="1"/>
  <c r="F224" i="1"/>
  <c r="P224" i="1"/>
  <c r="M188" i="13"/>
  <c r="K188" i="13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K259" i="13"/>
  <c r="M265" i="13"/>
  <c r="K265" i="13"/>
  <c r="G337" i="13"/>
  <c r="C140" i="1"/>
  <c r="C170" i="1"/>
  <c r="F180" i="13"/>
  <c r="M176" i="13"/>
  <c r="K176" i="13"/>
  <c r="G248" i="13"/>
  <c r="Q136" i="1"/>
  <c r="N136" i="1"/>
  <c r="H192" i="1"/>
  <c r="Q161" i="1"/>
  <c r="N161" i="1"/>
  <c r="H217" i="1"/>
  <c r="E256" i="13"/>
  <c r="O256" i="13"/>
  <c r="C256" i="13"/>
  <c r="N163" i="13"/>
  <c r="F179" i="13"/>
  <c r="M189" i="13"/>
  <c r="G261" i="13"/>
  <c r="K189" i="13"/>
  <c r="I216" i="1"/>
  <c r="F216" i="1"/>
  <c r="P216" i="1"/>
  <c r="C144" i="1"/>
  <c r="L162" i="1"/>
  <c r="C166" i="1"/>
  <c r="E233" i="13"/>
  <c r="O233" i="13"/>
  <c r="C233" i="13"/>
  <c r="Q148" i="1"/>
  <c r="N148" i="1"/>
  <c r="H204" i="1"/>
  <c r="S204" i="1" s="1"/>
  <c r="M245" i="13"/>
  <c r="G317" i="13"/>
  <c r="K245" i="13"/>
  <c r="E264" i="13"/>
  <c r="C264" i="13"/>
  <c r="O264" i="13"/>
  <c r="Q143" i="1"/>
  <c r="N143" i="1"/>
  <c r="H199" i="1"/>
  <c r="S199" i="1" s="1"/>
  <c r="Q151" i="1"/>
  <c r="N151" i="1"/>
  <c r="H207" i="1"/>
  <c r="F186" i="13"/>
  <c r="C152" i="1"/>
  <c r="F265" i="13"/>
  <c r="Q140" i="1"/>
  <c r="N140" i="1"/>
  <c r="H196" i="1"/>
  <c r="Q170" i="1"/>
  <c r="N170" i="1"/>
  <c r="H226" i="1"/>
  <c r="C169" i="1"/>
  <c r="E257" i="13"/>
  <c r="O257" i="13"/>
  <c r="C257" i="13"/>
  <c r="N139" i="1"/>
  <c r="Q139" i="1"/>
  <c r="H195" i="1"/>
  <c r="N171" i="1"/>
  <c r="Q171" i="1"/>
  <c r="H227" i="1"/>
  <c r="Q146" i="1"/>
  <c r="N146" i="1"/>
  <c r="H202" i="1"/>
  <c r="E237" i="13"/>
  <c r="C237" i="13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F158" i="13"/>
  <c r="M179" i="13"/>
  <c r="G251" i="13"/>
  <c r="K179" i="13"/>
  <c r="F189" i="13"/>
  <c r="Q150" i="1"/>
  <c r="N150" i="1"/>
  <c r="H206" i="1"/>
  <c r="M183" i="13"/>
  <c r="K183" i="13"/>
  <c r="G255" i="13"/>
  <c r="E254" i="13"/>
  <c r="O254" i="13"/>
  <c r="C254" i="13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G252" i="13"/>
  <c r="F176" i="13"/>
  <c r="C136" i="1"/>
  <c r="F159" i="13"/>
  <c r="F156" i="13"/>
  <c r="C195" i="13"/>
  <c r="C167" i="1"/>
  <c r="Q145" i="1"/>
  <c r="N145" i="1"/>
  <c r="H201" i="1"/>
  <c r="M190" i="13"/>
  <c r="G262" i="13"/>
  <c r="K190" i="13"/>
  <c r="L160" i="1"/>
  <c r="E247" i="13"/>
  <c r="O247" i="13"/>
  <c r="C247" i="13"/>
  <c r="C158" i="1"/>
  <c r="Q144" i="1"/>
  <c r="N144" i="1"/>
  <c r="H200" i="1"/>
  <c r="Q147" i="1"/>
  <c r="N147" i="1"/>
  <c r="H203" i="1"/>
  <c r="M172" i="13"/>
  <c r="K172" i="13"/>
  <c r="G244" i="13"/>
  <c r="N161" i="13"/>
  <c r="F166" i="13"/>
  <c r="M186" i="13"/>
  <c r="G258" i="13"/>
  <c r="K186" i="13"/>
  <c r="L123" i="13"/>
  <c r="M156" i="13"/>
  <c r="G228" i="13"/>
  <c r="K156" i="13"/>
  <c r="M249" i="13"/>
  <c r="G321" i="13"/>
  <c r="K249" i="13"/>
  <c r="N165" i="13"/>
  <c r="Q164" i="1"/>
  <c r="N164" i="1"/>
  <c r="H220" i="1"/>
  <c r="M171" i="13"/>
  <c r="K171" i="13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G229" i="13"/>
  <c r="N185" i="13"/>
  <c r="G25" i="4"/>
  <c r="M159" i="13"/>
  <c r="K159" i="13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M158" i="13"/>
  <c r="K158" i="13"/>
  <c r="G230" i="13"/>
  <c r="C150" i="1"/>
  <c r="F183" i="13"/>
  <c r="C145" i="1"/>
  <c r="L134" i="1"/>
  <c r="E241" i="13"/>
  <c r="C241" i="13"/>
  <c r="O241" i="13"/>
  <c r="N168" i="13" l="1"/>
  <c r="F249" i="13"/>
  <c r="C253" i="13"/>
  <c r="O236" i="13"/>
  <c r="K232" i="13"/>
  <c r="G331" i="13"/>
  <c r="C240" i="13"/>
  <c r="E259" i="13"/>
  <c r="C259" i="13"/>
  <c r="C236" i="13"/>
  <c r="C239" i="13"/>
  <c r="K227" i="13"/>
  <c r="O239" i="13"/>
  <c r="M239" i="13" s="1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N160" i="13"/>
  <c r="N175" i="13"/>
  <c r="F232" i="13"/>
  <c r="N155" i="13"/>
  <c r="N178" i="13"/>
  <c r="F234" i="13"/>
  <c r="F250" i="13"/>
  <c r="N177" i="13"/>
  <c r="G84" i="1"/>
  <c r="G111" i="1"/>
  <c r="M250" i="13"/>
  <c r="E242" i="13"/>
  <c r="C242" i="13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K234" i="13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G313" i="13"/>
  <c r="L149" i="1"/>
  <c r="I220" i="1"/>
  <c r="F220" i="1"/>
  <c r="P220" i="1"/>
  <c r="L145" i="1"/>
  <c r="C26" i="4"/>
  <c r="E251" i="13"/>
  <c r="C251" i="13"/>
  <c r="O251" i="13"/>
  <c r="F235" i="13"/>
  <c r="I202" i="1"/>
  <c r="F202" i="1"/>
  <c r="P202" i="1"/>
  <c r="I199" i="1"/>
  <c r="F199" i="1"/>
  <c r="P199" i="1"/>
  <c r="T199" i="1" s="1"/>
  <c r="E317" i="13"/>
  <c r="C317" i="13"/>
  <c r="O317" i="13"/>
  <c r="E261" i="13"/>
  <c r="O261" i="13"/>
  <c r="C261" i="13"/>
  <c r="N265" i="13"/>
  <c r="E246" i="13"/>
  <c r="C246" i="13"/>
  <c r="O246" i="13"/>
  <c r="C190" i="1"/>
  <c r="E190" i="1" s="1"/>
  <c r="I213" i="1"/>
  <c r="F213" i="1"/>
  <c r="P213" i="1"/>
  <c r="E230" i="13"/>
  <c r="O230" i="13"/>
  <c r="C230" i="13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O98" i="1"/>
  <c r="O95" i="1"/>
  <c r="E258" i="13"/>
  <c r="C258" i="13"/>
  <c r="O258" i="13"/>
  <c r="N180" i="13"/>
  <c r="Q218" i="1"/>
  <c r="N218" i="1"/>
  <c r="H272" i="1"/>
  <c r="L139" i="1"/>
  <c r="M257" i="13"/>
  <c r="G329" i="13"/>
  <c r="K257" i="13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O231" i="13"/>
  <c r="H25" i="4"/>
  <c r="O117" i="1"/>
  <c r="E229" i="13"/>
  <c r="O229" i="13"/>
  <c r="C229" i="13"/>
  <c r="O84" i="1"/>
  <c r="I189" i="1"/>
  <c r="F189" i="1"/>
  <c r="P189" i="1"/>
  <c r="T189" i="1" s="1"/>
  <c r="C322" i="13"/>
  <c r="G134" i="1"/>
  <c r="N171" i="13"/>
  <c r="N249" i="13"/>
  <c r="E228" i="13"/>
  <c r="C228" i="13"/>
  <c r="O228" i="13"/>
  <c r="E244" i="13"/>
  <c r="O244" i="13"/>
  <c r="C244" i="13"/>
  <c r="M247" i="13"/>
  <c r="G319" i="13"/>
  <c r="K247" i="13"/>
  <c r="N190" i="13"/>
  <c r="N123" i="13"/>
  <c r="D26" i="4" s="1"/>
  <c r="D35" i="4" s="1"/>
  <c r="L158" i="1"/>
  <c r="O93" i="1"/>
  <c r="E255" i="13"/>
  <c r="O255" i="13"/>
  <c r="C255" i="13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G328" i="13"/>
  <c r="I217" i="1"/>
  <c r="F217" i="1"/>
  <c r="P217" i="1"/>
  <c r="I192" i="1"/>
  <c r="F192" i="1"/>
  <c r="P192" i="1"/>
  <c r="E248" i="13"/>
  <c r="O248" i="13"/>
  <c r="C248" i="13"/>
  <c r="O85" i="1"/>
  <c r="N259" i="13"/>
  <c r="O91" i="1"/>
  <c r="Q190" i="1"/>
  <c r="N190" i="1"/>
  <c r="H244" i="1"/>
  <c r="S244" i="1" s="1"/>
  <c r="E260" i="13"/>
  <c r="O260" i="13"/>
  <c r="C260" i="13"/>
  <c r="O112" i="1"/>
  <c r="C224" i="1"/>
  <c r="E224" i="1" s="1"/>
  <c r="N166" i="13"/>
  <c r="M263" i="13"/>
  <c r="G335" i="13"/>
  <c r="K263" i="13"/>
  <c r="L141" i="1"/>
  <c r="N186" i="13"/>
  <c r="G311" i="13"/>
  <c r="K239" i="13"/>
  <c r="E252" i="13"/>
  <c r="O252" i="13"/>
  <c r="C252" i="13"/>
  <c r="L152" i="1"/>
  <c r="Q193" i="1"/>
  <c r="N193" i="1"/>
  <c r="H247" i="1"/>
  <c r="M254" i="13"/>
  <c r="K254" i="13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F214" i="1"/>
  <c r="I214" i="1"/>
  <c r="P214" i="1"/>
  <c r="I206" i="1"/>
  <c r="F206" i="1"/>
  <c r="P206" i="1"/>
  <c r="M235" i="13"/>
  <c r="K235" i="13"/>
  <c r="G307" i="13"/>
  <c r="M237" i="13"/>
  <c r="G309" i="13"/>
  <c r="K237" i="13"/>
  <c r="G162" i="1"/>
  <c r="L171" i="1"/>
  <c r="O99" i="1"/>
  <c r="I226" i="1"/>
  <c r="F226" i="1"/>
  <c r="P226" i="1"/>
  <c r="F264" i="13"/>
  <c r="O92" i="1"/>
  <c r="F263" i="13"/>
  <c r="E266" i="13"/>
  <c r="C266" i="13"/>
  <c r="O266" i="13"/>
  <c r="L165" i="1"/>
  <c r="L138" i="1"/>
  <c r="L167" i="1"/>
  <c r="N159" i="13"/>
  <c r="M236" i="13"/>
  <c r="G308" i="13"/>
  <c r="K236" i="13"/>
  <c r="N157" i="13"/>
  <c r="L169" i="1"/>
  <c r="N250" i="13"/>
  <c r="L153" i="1"/>
  <c r="L164" i="1"/>
  <c r="E321" i="13"/>
  <c r="C321" i="13"/>
  <c r="O321" i="13"/>
  <c r="K253" i="13"/>
  <c r="N172" i="13"/>
  <c r="L147" i="1"/>
  <c r="L144" i="1"/>
  <c r="E262" i="13"/>
  <c r="C262" i="13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Q216" i="1"/>
  <c r="N216" i="1"/>
  <c r="H270" i="1"/>
  <c r="N189" i="13"/>
  <c r="N176" i="13"/>
  <c r="E337" i="13"/>
  <c r="O337" i="13"/>
  <c r="C337" i="13"/>
  <c r="E331" i="13"/>
  <c r="O331" i="13"/>
  <c r="C331" i="13"/>
  <c r="N174" i="13"/>
  <c r="L157" i="1"/>
  <c r="N188" i="13"/>
  <c r="N224" i="1"/>
  <c r="Q224" i="1"/>
  <c r="H278" i="1"/>
  <c r="O96" i="1"/>
  <c r="E238" i="13"/>
  <c r="C238" i="13"/>
  <c r="O238" i="13"/>
  <c r="F253" i="13" l="1"/>
  <c r="F236" i="13"/>
  <c r="F239" i="13"/>
  <c r="F240" i="13"/>
  <c r="N232" i="13"/>
  <c r="N227" i="13"/>
  <c r="F259" i="13"/>
  <c r="G325" i="13"/>
  <c r="E325" i="13" s="1"/>
  <c r="O322" i="13"/>
  <c r="K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N234" i="13"/>
  <c r="F299" i="13"/>
  <c r="F242" i="13"/>
  <c r="M242" i="13"/>
  <c r="G314" i="13"/>
  <c r="K242" i="13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E306" i="13"/>
  <c r="O306" i="13"/>
  <c r="K299" i="13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I270" i="1"/>
  <c r="F270" i="1"/>
  <c r="P270" i="1"/>
  <c r="L294" i="14"/>
  <c r="M238" i="14"/>
  <c r="M294" i="14" s="1"/>
  <c r="C312" i="13"/>
  <c r="M243" i="13"/>
  <c r="G315" i="13"/>
  <c r="K243" i="13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Q220" i="1"/>
  <c r="N220" i="1"/>
  <c r="H274" i="1"/>
  <c r="G161" i="1"/>
  <c r="N253" i="13"/>
  <c r="M266" i="13"/>
  <c r="G338" i="13"/>
  <c r="K266" i="13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F255" i="13"/>
  <c r="F229" i="13"/>
  <c r="M231" i="13"/>
  <c r="K231" i="13"/>
  <c r="G303" i="13"/>
  <c r="Q196" i="1"/>
  <c r="N196" i="1"/>
  <c r="H250" i="1"/>
  <c r="L218" i="1"/>
  <c r="M218" i="1" s="1"/>
  <c r="O160" i="1"/>
  <c r="F304" i="13"/>
  <c r="M261" i="13"/>
  <c r="K261" i="13"/>
  <c r="G333" i="13"/>
  <c r="M317" i="13"/>
  <c r="K317" i="13"/>
  <c r="G389" i="13"/>
  <c r="G169" i="1"/>
  <c r="G138" i="1"/>
  <c r="F251" i="13"/>
  <c r="L216" i="1"/>
  <c r="M216" i="1" s="1"/>
  <c r="G193" i="1"/>
  <c r="C325" i="13"/>
  <c r="O325" i="13"/>
  <c r="F321" i="13"/>
  <c r="F266" i="13"/>
  <c r="C226" i="1"/>
  <c r="E226" i="1" s="1"/>
  <c r="E309" i="13"/>
  <c r="O309" i="13"/>
  <c r="C309" i="13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O336" i="13"/>
  <c r="C207" i="1"/>
  <c r="E207" i="1" s="1"/>
  <c r="I247" i="1"/>
  <c r="F247" i="1"/>
  <c r="P247" i="1"/>
  <c r="M260" i="13"/>
  <c r="K260" i="13"/>
  <c r="G332" i="13"/>
  <c r="I244" i="1"/>
  <c r="F244" i="1"/>
  <c r="P244" i="1"/>
  <c r="T244" i="1" s="1"/>
  <c r="F248" i="13"/>
  <c r="N256" i="13"/>
  <c r="G144" i="1"/>
  <c r="M255" i="13"/>
  <c r="G327" i="13"/>
  <c r="K255" i="13"/>
  <c r="N247" i="13"/>
  <c r="Q189" i="1"/>
  <c r="N189" i="1"/>
  <c r="H243" i="1"/>
  <c r="S243" i="1" s="1"/>
  <c r="M229" i="13"/>
  <c r="K229" i="13"/>
  <c r="G301" i="13"/>
  <c r="F231" i="13"/>
  <c r="G157" i="1"/>
  <c r="G145" i="1"/>
  <c r="E329" i="13"/>
  <c r="O329" i="13"/>
  <c r="C329" i="13"/>
  <c r="F272" i="1"/>
  <c r="I272" i="1"/>
  <c r="P272" i="1"/>
  <c r="M304" i="13"/>
  <c r="K304" i="13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F238" i="13"/>
  <c r="L224" i="1"/>
  <c r="M224" i="1" s="1"/>
  <c r="F331" i="13"/>
  <c r="N233" i="13"/>
  <c r="G218" i="1"/>
  <c r="M262" i="13"/>
  <c r="K262" i="13"/>
  <c r="G334" i="13"/>
  <c r="N236" i="13"/>
  <c r="Q226" i="1"/>
  <c r="N226" i="1"/>
  <c r="H280" i="1"/>
  <c r="E307" i="13"/>
  <c r="C307" i="13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G403" i="13"/>
  <c r="E305" i="13"/>
  <c r="O305" i="13"/>
  <c r="C305" i="13"/>
  <c r="F262" i="13"/>
  <c r="M321" i="13"/>
  <c r="G393" i="13"/>
  <c r="K321" i="13"/>
  <c r="O137" i="1"/>
  <c r="E308" i="13"/>
  <c r="O308" i="13"/>
  <c r="C308" i="13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E335" i="13"/>
  <c r="C335" i="13"/>
  <c r="O335" i="13"/>
  <c r="F260" i="13"/>
  <c r="Q217" i="1"/>
  <c r="N217" i="1"/>
  <c r="H271" i="1"/>
  <c r="G149" i="1"/>
  <c r="M244" i="13"/>
  <c r="G316" i="13"/>
  <c r="K244" i="13"/>
  <c r="C189" i="1"/>
  <c r="E189" i="1" s="1"/>
  <c r="G151" i="1"/>
  <c r="N257" i="13"/>
  <c r="M230" i="13"/>
  <c r="G302" i="13"/>
  <c r="K230" i="13"/>
  <c r="Q213" i="1"/>
  <c r="N213" i="1"/>
  <c r="H267" i="1"/>
  <c r="M238" i="13"/>
  <c r="G310" i="13"/>
  <c r="K238" i="13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N239" i="13"/>
  <c r="G224" i="1"/>
  <c r="M248" i="13"/>
  <c r="K248" i="13"/>
  <c r="G320" i="13"/>
  <c r="L319" i="14"/>
  <c r="M263" i="14"/>
  <c r="M319" i="14" s="1"/>
  <c r="C204" i="1"/>
  <c r="E204" i="1" s="1"/>
  <c r="E319" i="13"/>
  <c r="O319" i="13"/>
  <c r="C319" i="13"/>
  <c r="M228" i="13"/>
  <c r="G300" i="13"/>
  <c r="K228" i="13"/>
  <c r="G394" i="13"/>
  <c r="I25" i="4"/>
  <c r="L325" i="14"/>
  <c r="M269" i="14"/>
  <c r="M325" i="14" s="1"/>
  <c r="M258" i="13"/>
  <c r="G330" i="13"/>
  <c r="K258" i="13"/>
  <c r="C197" i="1"/>
  <c r="E197" i="1" s="1"/>
  <c r="M246" i="13"/>
  <c r="K246" i="13"/>
  <c r="G318" i="13"/>
  <c r="C220" i="1"/>
  <c r="E220" i="1" s="1"/>
  <c r="N241" i="13"/>
  <c r="O312" i="13" l="1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F306" i="13"/>
  <c r="N242" i="13"/>
  <c r="M235" i="14"/>
  <c r="M291" i="14" s="1"/>
  <c r="E314" i="13"/>
  <c r="C314" i="13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E371" i="13"/>
  <c r="G378" i="13"/>
  <c r="M306" i="13"/>
  <c r="K306" i="13"/>
  <c r="O169" i="1"/>
  <c r="O161" i="1"/>
  <c r="F326" i="13"/>
  <c r="L201" i="1"/>
  <c r="M201" i="1" s="1"/>
  <c r="L214" i="1"/>
  <c r="M214" i="1" s="1"/>
  <c r="L206" i="1"/>
  <c r="M206" i="1" s="1"/>
  <c r="E310" i="13"/>
  <c r="C310" i="13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O334" i="13"/>
  <c r="O224" i="1"/>
  <c r="C272" i="1"/>
  <c r="E272" i="1" s="1"/>
  <c r="L189" i="1"/>
  <c r="M189" i="1" s="1"/>
  <c r="E332" i="13"/>
  <c r="O332" i="13"/>
  <c r="C332" i="13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C270" i="1"/>
  <c r="E270" i="1" s="1"/>
  <c r="G220" i="1"/>
  <c r="J25" i="4"/>
  <c r="N248" i="13"/>
  <c r="M326" i="13"/>
  <c r="K326" i="13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O302" i="13"/>
  <c r="L303" i="14"/>
  <c r="M247" i="14"/>
  <c r="M303" i="14" s="1"/>
  <c r="G223" i="1"/>
  <c r="G206" i="1"/>
  <c r="L310" i="14"/>
  <c r="M254" i="14"/>
  <c r="M310" i="14" s="1"/>
  <c r="M305" i="13"/>
  <c r="K305" i="13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O150" i="1"/>
  <c r="M325" i="13"/>
  <c r="K325" i="13"/>
  <c r="G397" i="13"/>
  <c r="O147" i="1"/>
  <c r="O157" i="1"/>
  <c r="O148" i="1"/>
  <c r="M328" i="13"/>
  <c r="K328" i="13"/>
  <c r="G400" i="13"/>
  <c r="L192" i="1"/>
  <c r="M192" i="1" s="1"/>
  <c r="E338" i="13"/>
  <c r="O338" i="13"/>
  <c r="C338" i="13"/>
  <c r="F259" i="1"/>
  <c r="I259" i="1"/>
  <c r="P259" i="1"/>
  <c r="O190" i="1"/>
  <c r="E330" i="13"/>
  <c r="O330" i="13"/>
  <c r="C330" i="13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L296" i="14"/>
  <c r="M240" i="14"/>
  <c r="M296" i="14" s="1"/>
  <c r="L196" i="1"/>
  <c r="M196" i="1" s="1"/>
  <c r="E303" i="13"/>
  <c r="O303" i="13"/>
  <c r="C303" i="13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G384" i="13"/>
  <c r="O167" i="1"/>
  <c r="L301" i="14"/>
  <c r="M245" i="14"/>
  <c r="M301" i="14" s="1"/>
  <c r="Q270" i="1"/>
  <c r="N270" i="1"/>
  <c r="H324" i="1"/>
  <c r="N337" i="13"/>
  <c r="E318" i="13"/>
  <c r="C318" i="13"/>
  <c r="O318" i="13"/>
  <c r="G197" i="1"/>
  <c r="E394" i="13"/>
  <c r="C394" i="13"/>
  <c r="M319" i="13"/>
  <c r="G391" i="13"/>
  <c r="K319" i="13"/>
  <c r="E320" i="13"/>
  <c r="O320" i="13"/>
  <c r="C320" i="13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O316" i="13"/>
  <c r="L297" i="14"/>
  <c r="M241" i="14"/>
  <c r="M297" i="14" s="1"/>
  <c r="E393" i="13"/>
  <c r="C393" i="13"/>
  <c r="F305" i="13"/>
  <c r="I251" i="1"/>
  <c r="F251" i="1"/>
  <c r="P251" i="1"/>
  <c r="G196" i="1"/>
  <c r="M311" i="13"/>
  <c r="K311" i="13"/>
  <c r="G383" i="13"/>
  <c r="L195" i="1"/>
  <c r="M195" i="1" s="1"/>
  <c r="G222" i="1"/>
  <c r="M313" i="13"/>
  <c r="G385" i="13"/>
  <c r="K313" i="13"/>
  <c r="E376" i="13"/>
  <c r="C376" i="13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E324" i="13"/>
  <c r="C324" i="13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F228" i="13"/>
  <c r="L227" i="1"/>
  <c r="M227" i="1" s="1"/>
  <c r="L225" i="1"/>
  <c r="M225" i="1" s="1"/>
  <c r="M307" i="13"/>
  <c r="K307" i="13"/>
  <c r="G379" i="13"/>
  <c r="O165" i="1"/>
  <c r="F313" i="13"/>
  <c r="G199" i="1"/>
  <c r="G205" i="1"/>
  <c r="Q272" i="1"/>
  <c r="N272" i="1"/>
  <c r="H326" i="1"/>
  <c r="M329" i="13"/>
  <c r="G401" i="13"/>
  <c r="K329" i="13"/>
  <c r="E301" i="13"/>
  <c r="O301" i="13"/>
  <c r="C301" i="13"/>
  <c r="O158" i="1"/>
  <c r="C244" i="1"/>
  <c r="E244" i="1" s="1"/>
  <c r="M309" i="13"/>
  <c r="G381" i="13"/>
  <c r="K309" i="13"/>
  <c r="O166" i="1"/>
  <c r="O216" i="1"/>
  <c r="E389" i="13"/>
  <c r="C389" i="13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G192" i="1"/>
  <c r="I261" i="1"/>
  <c r="F261" i="1"/>
  <c r="P261" i="1"/>
  <c r="N243" i="13"/>
  <c r="F312" i="13"/>
  <c r="O144" i="1"/>
  <c r="E409" i="13"/>
  <c r="C409" i="13"/>
  <c r="M246" i="14" l="1"/>
  <c r="M302" i="14" s="1"/>
  <c r="M320" i="14"/>
  <c r="M313" i="14"/>
  <c r="D277" i="14"/>
  <c r="M316" i="14"/>
  <c r="G191" i="1"/>
  <c r="N306" i="13"/>
  <c r="F314" i="13"/>
  <c r="G386" i="13"/>
  <c r="M314" i="13"/>
  <c r="K314" i="13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C261" i="1"/>
  <c r="E261" i="1" s="1"/>
  <c r="E401" i="13"/>
  <c r="C401" i="13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O213" i="1"/>
  <c r="F338" i="13"/>
  <c r="Q249" i="1"/>
  <c r="N249" i="1"/>
  <c r="H303" i="1"/>
  <c r="E377" i="13"/>
  <c r="C377" i="13"/>
  <c r="N326" i="13"/>
  <c r="M315" i="13"/>
  <c r="G387" i="13"/>
  <c r="K315" i="13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E408" i="13"/>
  <c r="C408" i="13"/>
  <c r="F267" i="13"/>
  <c r="M324" i="13"/>
  <c r="K324" i="13"/>
  <c r="G396" i="13"/>
  <c r="E407" i="13"/>
  <c r="C407" i="13"/>
  <c r="I298" i="1"/>
  <c r="F298" i="1"/>
  <c r="N313" i="13"/>
  <c r="O195" i="1"/>
  <c r="C251" i="1"/>
  <c r="E251" i="1" s="1"/>
  <c r="F393" i="13"/>
  <c r="M316" i="13"/>
  <c r="G388" i="13"/>
  <c r="K316" i="13"/>
  <c r="O209" i="1"/>
  <c r="O221" i="1"/>
  <c r="F394" i="13"/>
  <c r="M318" i="13"/>
  <c r="K318" i="13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C257" i="1"/>
  <c r="E257" i="1" s="1"/>
  <c r="M310" i="13"/>
  <c r="G382" i="13"/>
  <c r="K310" i="13"/>
  <c r="M323" i="13"/>
  <c r="K323" i="13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C248" i="1"/>
  <c r="E248" i="1" s="1"/>
  <c r="N261" i="1"/>
  <c r="Q261" i="1"/>
  <c r="H315" i="1"/>
  <c r="M301" i="13"/>
  <c r="G373" i="13"/>
  <c r="K301" i="13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G392" i="13"/>
  <c r="O204" i="1"/>
  <c r="C243" i="1"/>
  <c r="E243" i="1" s="1"/>
  <c r="E380" i="13"/>
  <c r="C380" i="13"/>
  <c r="G189" i="1"/>
  <c r="C259" i="1"/>
  <c r="E259" i="1" s="1"/>
  <c r="M338" i="13"/>
  <c r="K338" i="13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N329" i="13"/>
  <c r="E379" i="13"/>
  <c r="C379" i="13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E383" i="13"/>
  <c r="C383" i="13"/>
  <c r="F316" i="13"/>
  <c r="N319" i="13"/>
  <c r="F318" i="13"/>
  <c r="L270" i="1"/>
  <c r="M270" i="1" s="1"/>
  <c r="E384" i="13"/>
  <c r="C384" i="13"/>
  <c r="O207" i="1"/>
  <c r="O220" i="1"/>
  <c r="F303" i="13"/>
  <c r="O196" i="1"/>
  <c r="M333" i="13"/>
  <c r="K333" i="13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M327" i="13"/>
  <c r="G399" i="13"/>
  <c r="K327" i="13"/>
  <c r="C249" i="1"/>
  <c r="E249" i="1" s="1"/>
  <c r="M302" i="13"/>
  <c r="G374" i="13"/>
  <c r="K302" i="13"/>
  <c r="Q268" i="1"/>
  <c r="N268" i="1"/>
  <c r="H322" i="1"/>
  <c r="Q277" i="1"/>
  <c r="N277" i="1"/>
  <c r="H331" i="1"/>
  <c r="Q275" i="1"/>
  <c r="N275" i="1"/>
  <c r="H329" i="1"/>
  <c r="E398" i="13"/>
  <c r="C398" i="13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F378" i="13" l="1"/>
  <c r="N314" i="13"/>
  <c r="C386" i="13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I310" i="1"/>
  <c r="F310" i="1"/>
  <c r="G26" i="4"/>
  <c r="G267" i="1"/>
  <c r="N315" i="13"/>
  <c r="E375" i="13"/>
  <c r="C375" i="13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G255" i="1"/>
  <c r="G258" i="1"/>
  <c r="E387" i="13"/>
  <c r="C387" i="13"/>
  <c r="F377" i="13"/>
  <c r="L267" i="1"/>
  <c r="M267" i="1" s="1"/>
  <c r="L257" i="1"/>
  <c r="M257" i="1" s="1"/>
  <c r="O247" i="1"/>
  <c r="L274" i="1"/>
  <c r="M274" i="1" s="1"/>
  <c r="E374" i="13"/>
  <c r="C374" i="13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G259" i="1"/>
  <c r="S283" i="1"/>
  <c r="E392" i="13"/>
  <c r="C392" i="13"/>
  <c r="I317" i="1"/>
  <c r="F317" i="1"/>
  <c r="I314" i="1"/>
  <c r="F314" i="1"/>
  <c r="L279" i="1"/>
  <c r="M279" i="1" s="1"/>
  <c r="N301" i="13"/>
  <c r="E406" i="13"/>
  <c r="C406" i="13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E388" i="13"/>
  <c r="C388" i="13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I315" i="1"/>
  <c r="F315" i="1"/>
  <c r="F391" i="13"/>
  <c r="I305" i="1"/>
  <c r="F305" i="1"/>
  <c r="I300" i="1"/>
  <c r="F300" i="1"/>
  <c r="E395" i="13"/>
  <c r="C395" i="13"/>
  <c r="E382" i="13"/>
  <c r="C382" i="13"/>
  <c r="N332" i="13"/>
  <c r="L258" i="1"/>
  <c r="M258" i="1" s="1"/>
  <c r="C332" i="1"/>
  <c r="E332" i="1" s="1"/>
  <c r="E402" i="13"/>
  <c r="C402" i="13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F386" i="13" l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G48" i="4" s="1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I48" i="4" s="1"/>
  <c r="G49" i="4"/>
  <c r="G50" i="4" s="1"/>
  <c r="H44" i="4"/>
  <c r="H48" i="4" s="1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J48" i="4" s="1"/>
  <c r="K44" i="4"/>
  <c r="K48" i="4" s="1"/>
  <c r="J49" i="4" l="1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B276" i="14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21" i="14" l="1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L276" i="14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63" i="4"/>
  <c r="D64" i="4" l="1"/>
  <c r="D48" i="4"/>
  <c r="D49" i="4" s="1"/>
  <c r="M334" i="14"/>
  <c r="F36" i="4"/>
  <c r="F59" i="4" s="1"/>
  <c r="F61" i="4" s="1"/>
  <c r="G339" i="1"/>
  <c r="E38" i="4"/>
  <c r="E41" i="4" s="1"/>
  <c r="E45" i="4" s="1"/>
  <c r="E44" i="4" s="1"/>
  <c r="E48" i="4" s="1"/>
  <c r="D58" i="4"/>
  <c r="M290" i="14"/>
  <c r="D54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64" i="4" l="1"/>
  <c r="F48" i="4"/>
  <c r="F49" i="4" s="1"/>
  <c r="L45" i="4"/>
  <c r="E59" i="4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L36" i="4"/>
  <c r="L38" i="4"/>
  <c r="O74" i="4" s="1"/>
  <c r="O73" i="4" s="1"/>
  <c r="E54" i="4"/>
  <c r="E49" i="4"/>
  <c r="F54" i="4"/>
  <c r="B63" i="4"/>
  <c r="B44" i="4"/>
  <c r="B57" i="4"/>
  <c r="L41" i="4"/>
  <c r="D65" i="4"/>
  <c r="D66" i="4" s="1"/>
  <c r="D50" i="4"/>
  <c r="B58" i="4" l="1"/>
  <c r="B48" i="4"/>
  <c r="C64" i="4"/>
  <c r="C48" i="4"/>
  <c r="C49" i="4" s="1"/>
  <c r="C58" i="4"/>
  <c r="G58" i="4" s="1"/>
  <c r="B49" i="4"/>
  <c r="L44" i="4"/>
  <c r="G63" i="4"/>
  <c r="G59" i="4"/>
  <c r="F65" i="4"/>
  <c r="F66" i="4" s="1"/>
  <c r="F50" i="4"/>
  <c r="C54" i="4"/>
  <c r="B54" i="4"/>
  <c r="G61" i="4"/>
  <c r="E65" i="4"/>
  <c r="E66" i="4" s="1"/>
  <c r="E50" i="4"/>
  <c r="G57" i="4"/>
  <c r="L48" i="4" l="1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<sst xmlns="http://schemas.openxmlformats.org/spreadsheetml/2006/main" count="1227" uniqueCount="454">
  <si>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</si>
  <si>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</si>
  <si>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</si>
  <si>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</si>
  <si>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</si>
  <si>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</si>
  <si>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</si>
  <si>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</si>
  <si>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</si>
  <si>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</si>
  <si>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</si>
  <si>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</si>
  <si>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</si>
  <si>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</si>
  <si>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</si>
  <si>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</si>
  <si>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</si>
  <si>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</si>
  <si>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</si>
  <si>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</si>
  <si>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</si>
  <si>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</si>
  <si>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</si>
  <si>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</si>
  <si>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</si>
  <si>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</si>
  <si>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</si>
  <si>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</si>
  <si>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</si>
  <si>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</si>
  <si>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</si>
  <si>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</si>
  <si>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</si>
  <si>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</si>
  <si>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</si>
  <si>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</si>
  <si>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</si>
  <si>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</si>
  <si>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</si>
  <si>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</si>
  <si>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</si>
  <si>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</si>
  <si>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</si>
  <si>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</si>
  <si>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</si>
  <si>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</si>
  <si>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</si>
  <si>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</si>
  <si>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</si>
  <si>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</si>
  <si>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</si>
  <si>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</si>
  <si>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</si>
  <si>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</si>
  <si>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</si>
  <si>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</si>
  <si>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</si>
  <si>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</si>
  <si>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</si>
  <si>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</si>
  <si>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</si>
  <si>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</si>
  <si>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</si>
  <si>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</si>
  <si>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</si>
  <si>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</si>
  <si>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</si>
  <si>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</si>
  <si>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</si>
  <si>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</si>
  <si>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</si>
  <si>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</si>
  <si>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</si>
  <si>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</si>
  <si>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</si>
  <si>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</si>
  <si>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</si>
  <si>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</si>
  <si>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</si>
  <si>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</si>
  <si>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</si>
  <si>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</si>
  <si>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</si>
  <si>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</si>
  <si>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</si>
  <si>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</si>
  <si>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</si>
  <si>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</si>
  <si>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</si>
  <si>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</si>
  <si>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</si>
  <si>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</si>
  <si>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</si>
  <si>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</si>
  <si>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</si>
  <si>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</si>
  <si>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</si>
  <si>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</si>
  <si>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</si>
  <si>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</si>
  <si>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</si>
  <si>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</si>
  <si>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</si>
  <si>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</si>
  <si>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</si>
  <si>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</si>
  <si>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</si>
  <si>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</si>
  <si>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</si>
  <si>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</si>
  <si>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</si>
  <si>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</si>
  <si>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</si>
  <si>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</si>
  <si>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</si>
  <si>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</si>
  <si>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</si>
  <si>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</si>
  <si>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</si>
  <si>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</si>
  <si>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</si>
  <si>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</si>
  <si>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</si>
  <si>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</si>
  <si>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</si>
  <si>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</si>
  <si>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</si>
  <si>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</si>
  <si>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</si>
  <si>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</si>
  <si>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</si>
  <si>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</si>
  <si>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</si>
  <si>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</si>
  <si>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</si>
  <si>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</si>
  <si>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</si>
  <si>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</si>
  <si>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</si>
  <si>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</si>
  <si>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</si>
  <si>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</si>
  <si>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</si>
  <si>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</si>
  <si>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</si>
  <si>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</si>
  <si>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</si>
  <si>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</si>
  <si>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</si>
  <si>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</si>
  <si>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</si>
  <si>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</si>
  <si>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</si>
  <si>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</si>
  <si>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</si>
  <si>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</si>
  <si>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</si>
  <si>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</si>
  <si>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</si>
  <si>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</si>
  <si>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</si>
  <si>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</si>
  <si>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</si>
  <si>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</si>
  <si>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</si>
  <si>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</si>
  <si>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</si>
  <si>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</si>
  <si>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</si>
  <si>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</si>
  <si>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</si>
  <si>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</si>
  <si>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</si>
  <si>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</si>
  <si>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</si>
  <si>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</si>
  <si>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</si>
  <si>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</si>
  <si>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</si>
  <si>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</si>
  <si>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</si>
  <si>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</si>
  <si>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</si>
  <si>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</si>
  <si>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</si>
  <si>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</si>
  <si>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</si>
  <si>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</si>
  <si>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</si>
  <si>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</si>
  <si>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</si>
  <si>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</si>
  <si>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</si>
  <si>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</si>
  <si>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</si>
  <si>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</si>
  <si>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</si>
  <si>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</si>
  <si>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</si>
  <si>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</si>
  <si>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</si>
  <si>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</si>
  <si>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</si>
  <si>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</si>
  <si>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</si>
  <si>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</si>
  <si>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</si>
  <si>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</si>
  <si>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</si>
  <si>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</si>
  <si>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</si>
  <si>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>INTERNAL BUDGET WORKSHEET</t>
  </si>
  <si>
    <t>Maximum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</si>
  <si>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</si>
  <si>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</si>
  <si>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</si>
  <si>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</si>
  <si>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</si>
  <si>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</si>
  <si>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</si>
  <si>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</si>
  <si>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</si>
  <si>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</si>
  <si>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</si>
  <si>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</si>
  <si>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</si>
  <si>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</si>
  <si>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</si>
  <si>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</si>
  <si>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</si>
  <si>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</si>
  <si>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</si>
  <si>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</si>
  <si>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</si>
  <si>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</si>
  <si>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</si>
  <si>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</si>
  <si>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</si>
  <si>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</si>
  <si>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</si>
  <si>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</si>
  <si>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</si>
  <si>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</si>
  <si>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</si>
  <si>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Spring Only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</si>
  <si>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</si>
  <si>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</si>
  <si>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</si>
  <si>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</si>
  <si>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</si>
  <si>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</si>
  <si>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</si>
  <si>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</si>
  <si>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</si>
  <si>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</si>
  <si>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</si>
  <si>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</si>
  <si>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</si>
  <si>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</si>
  <si>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</si>
  <si>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</si>
  <si>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</si>
  <si>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</si>
  <si>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</si>
  <si>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</si>
  <si>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</si>
  <si>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</si>
  <si>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</si>
  <si>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</si>
  <si>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</si>
  <si>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</si>
  <si>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</si>
  <si>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</si>
  <si>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</si>
  <si>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</si>
  <si>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</si>
  <si>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</si>
  <si>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</si>
  <si>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</si>
  <si>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</si>
  <si>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</si>
  <si>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</si>
  <si>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</si>
  <si>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</si>
  <si>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</si>
  <si>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</si>
  <si>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</si>
  <si>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</si>
  <si>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</si>
  <si>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</si>
  <si>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</si>
  <si>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</si>
  <si>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</si>
  <si>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</si>
  <si>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</si>
  <si>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</si>
  <si>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</si>
  <si>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</si>
  <si>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</si>
  <si>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</si>
  <si>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</si>
  <si>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</si>
  <si>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</si>
  <si>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</si>
  <si>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</si>
  <si>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</si>
  <si>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</si>
  <si>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</si>
  <si>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</si>
  <si>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</si>
  <si>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</si>
  <si>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</si>
  <si>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</si>
  <si>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</si>
  <si>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</si>
  <si>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</si>
  <si>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</si>
  <si>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</si>
  <si>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</si>
  <si>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</si>
  <si>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</si>
  <si>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</si>
  <si>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</si>
  <si>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</si>
  <si>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</si>
  <si>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</si>
  <si>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</si>
  <si>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</si>
  <si>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</si>
  <si>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</si>
  <si>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</si>
  <si>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</si>
  <si>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</si>
  <si>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</si>
  <si>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</si>
  <si>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</si>
  <si>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</si>
  <si>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</si>
  <si>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</si>
  <si>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</si>
  <si>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</si>
  <si>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</si>
  <si>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</si>
  <si>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</si>
  <si>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</si>
  <si>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</si>
  <si>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</si>
  <si>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</si>
  <si>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</si>
  <si>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</si>
  <si>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</si>
  <si>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</si>
  <si>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</si>
  <si>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</si>
  <si>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</si>
  <si>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</si>
  <si>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</si>
  <si>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</si>
  <si>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</si>
  <si>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</si>
  <si>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</si>
  <si>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</si>
  <si>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</si>
  <si>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</si>
  <si>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</si>
  <si>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</si>
  <si>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</si>
  <si>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</si>
  <si>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</si>
  <si>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</si>
  <si>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</si>
  <si>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</si>
  <si>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</si>
  <si>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</si>
  <si>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</si>
  <si>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</si>
  <si>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</si>
  <si>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</si>
  <si>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</si>
  <si>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</si>
  <si>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</si>
  <si>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</si>
  <si>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</si>
  <si>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</si>
  <si>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</si>
  <si>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</si>
  <si>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43.5%       43.5%</t>
  </si>
  <si>
    <t>IPA's</t>
  </si>
  <si>
    <t xml:space="preserve">As of:  </t>
  </si>
  <si>
    <t>28%           28%</t>
  </si>
  <si>
    <t>Clinical Trials (Non-Federal)</t>
  </si>
  <si>
    <t>43.5%      43.5%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</si>
  <si>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</si>
  <si>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</si>
  <si>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</si>
  <si>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</si>
  <si>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</si>
  <si>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</si>
  <si>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</si>
  <si>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</si>
  <si>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</si>
  <si>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</si>
  <si>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</si>
  <si>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</si>
  <si>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</si>
  <si>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</si>
  <si>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</si>
  <si>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</si>
  <si>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</si>
  <si>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</si>
  <si>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</si>
  <si>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</si>
  <si>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</si>
  <si>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</si>
  <si>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</si>
  <si>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</si>
  <si>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</si>
  <si>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</si>
  <si>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</si>
  <si>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</si>
  <si>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</si>
  <si>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</si>
  <si>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</si>
  <si>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</si>
  <si>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</si>
  <si>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</si>
  <si>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</si>
  <si>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</si>
  <si>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</si>
  <si>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</si>
  <si>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</si>
  <si>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</si>
  <si>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</si>
  <si>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</si>
  <si>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</si>
  <si>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</si>
  <si>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</si>
  <si>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</si>
  <si>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</si>
  <si>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</si>
  <si>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</si>
  <si>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t>7/1/21-6/30/22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</si>
  <si>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</si>
  <si>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7/1/22-6/30/23</t>
  </si>
  <si>
    <t>FY 2023</t>
  </si>
  <si>
    <t>7/1/23-6/30/24</t>
  </si>
  <si>
    <t>FY 2024</t>
  </si>
  <si>
    <t>FY 2025</t>
  </si>
  <si>
    <t>7/1/24-6/30/25</t>
  </si>
  <si>
    <t>7/1/25-6/30/26</t>
  </si>
  <si>
    <t>FY 2026</t>
  </si>
  <si>
    <t>UNM F&amp;A Costs (52.5%)</t>
  </si>
  <si>
    <t>Research MDC (52.5%)</t>
  </si>
  <si>
    <t xml:space="preserve">  NON FEDERAL/ NON Standard F&amp;A Revised 3/18/2022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</si>
</sst>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7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7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7" fontId="29" fillId="9" borderId="0" xfId="3" applyNumberFormat="1" applyFont="1" applyFill="1" applyBorder="1" applyProtection="1"/>
    <xf numFmtId="37" fontId="29" fillId="9" borderId="0" xfId="0" applyNumberFormat="1" applyFont="1" applyFill="1" applyProtection="1"/>
    <xf numFmtId="37" fontId="29" fillId="9" borderId="0" xfId="0" applyNumberFormat="1" applyFont="1" applyFill="1" applyAlignment="1" applyProtection="1">
      <alignment horizontal="center"/>
    </xf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169" fontId="3" fillId="9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24" xfId="0" applyNumberFormat="1" applyBorder="1"/>
    <xf numFmtId="37" fontId="0" fillId="2" borderId="0" xfId="0" applyNumberFormat="1" applyBorder="1"/>
    <xf numFmtId="37" fontId="0" fillId="2" borderId="24" xfId="0" applyNumberFormat="1" applyBorder="1" applyAlignment="1">
      <alignment horizontal="right"/>
    </xf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169" fontId="3" fillId="18" borderId="0" xfId="3" applyNumberFormat="1" applyFont="1" applyFill="1" applyBorder="1" applyAlignment="1" applyProtection="1">
      <alignment horizontal="center"/>
    </xf>
    <xf numFmtId="167" fontId="3" fillId="18" borderId="0" xfId="3" applyNumberFormat="1" applyFill="1" applyBorder="1" applyProtection="1"/>
    <xf numFmtId="167" fontId="0" fillId="18" borderId="0" xfId="0" applyNumberFormat="1" applyFill="1" applyProtection="1"/>
    <xf numFmtId="167" fontId="0" fillId="18" borderId="0" xfId="0" applyNumberFormat="1" applyFill="1" applyAlignment="1" applyProtection="1">
      <alignment horizontal="right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/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37" fontId="63" fillId="2" borderId="87" xfId="0" applyNumberFormat="1" applyFon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37" fontId="0" fillId="2" borderId="122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37" fontId="86" fillId="26" borderId="0" xfId="0" applyNumberFormat="1" applyFont="1" applyFill="1" applyAlignment="1">
      <alignment horizontal="centerContinuous" wrapText="1"/>
    </xf>
    <xf numFmtId="37" fontId="85" fillId="26" borderId="0" xfId="0" applyNumberFormat="1" applyFont="1" applyFill="1" applyAlignment="1">
      <alignment horizontal="left" wrapText="1"/>
    </xf>
    <xf numFmtId="0" fontId="20" fillId="14" borderId="109" xfId="0" applyNumberFormat="1" applyFont="1" applyFill="1" applyBorder="1" applyAlignment="1" applyProtection="1">
      <alignment horizontal="center" vertical="center"/>
    </xf>
    <xf numFmtId="1" fontId="20" fillId="14" borderId="0" xfId="0" applyNumberFormat="1" applyFont="1" applyFill="1" applyBorder="1" applyAlignment="1" applyProtection="1">
      <alignment horizontal="center" vertical="center"/>
    </xf>
    <xf numFmtId="37" fontId="5" fillId="2" borderId="19" xfId="0" applyFont="1" applyBorder="1"/>
    <xf numFmtId="37" fontId="5" fillId="2" borderId="21" xfId="0" applyFont="1" applyBorder="1"/>
    <xf numFmtId="37" fontId="18" fillId="5" borderId="0" xfId="0" applyNumberFormat="1" applyFont="1" applyFill="1" applyAlignment="1">
      <alignment horizontal="center" wrapText="1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2" xfId="0" applyNumberFormat="1" applyFont="1" applyBorder="1" applyAlignment="1" applyProtection="1">
      <alignment horizontal="left"/>
    </xf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2" borderId="28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38" fillId="2" borderId="0" xfId="0" applyNumberFormat="1" applyFont="1" applyAlignment="1" applyProtection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5" fillId="2" borderId="76" xfId="0" applyNumberFormat="1" applyFont="1" applyBorder="1" applyAlignment="1" applyProtection="1">
      <alignment horizontal="right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8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15" fillId="2" borderId="0" xfId="0" applyNumberFormat="1" applyFon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0" fillId="2" borderId="10" xfId="0" applyNumberFormat="1" applyBorder="1" applyAlignment="1" applyProtection="1">
      <alignment horizontal="center"/>
    </xf>
    <xf numFmtId="37" fontId="5" fillId="2" borderId="28" xfId="0" applyNumberFormat="1" applyFont="1" applyBorder="1" applyAlignment="1" applyProtection="1">
      <alignment horizontal="left"/>
    </xf>
    <xf numFmtId="37" fontId="0" fillId="2" borderId="1" xfId="0" applyNumberFormat="1" applyBorder="1" applyAlignment="1" applyProtection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3" borderId="29" xfId="0" applyNumberFormat="1" applyFont="1" applyFill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left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0" fillId="2" borderId="82" xfId="0" applyNumberFormat="1" applyBorder="1" applyAlignment="1"/>
    <xf numFmtId="37" fontId="5" fillId="5" borderId="0" xfId="0" applyNumberFormat="1" applyFont="1" applyFill="1" applyBorder="1" applyAlignment="1"/>
    <xf numFmtId="37" fontId="0" fillId="5" borderId="0" xfId="0" applyNumberFormat="1" applyFill="1" applyAlignment="1"/>
    <xf numFmtId="37" fontId="9" fillId="2" borderId="24" xfId="0" applyNumberFormat="1" applyFont="1" applyBorder="1" applyAlignment="1">
      <alignment horizontal="left" wrapText="1" indent="1"/>
    </xf>
    <xf numFmtId="37" fontId="4" fillId="5" borderId="0" xfId="0" applyNumberFormat="1" applyFont="1" applyFill="1" applyAlignment="1">
      <alignment horizontal="center"/>
    </xf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5" fillId="3" borderId="2" xfId="0" applyNumberFormat="1" applyFont="1" applyFill="1" applyBorder="1" applyAlignment="1" applyProtection="1">
      <alignment horizontal="left"/>
    </xf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37" fontId="3" fillId="2" borderId="13" xfId="5" applyNumberFormat="1" applyBorder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817" t="s">
        <v>355</v>
      </c>
      <c r="B2" s="817"/>
      <c r="C2" s="817"/>
      <c r="D2" s="817"/>
      <c r="E2" s="817"/>
      <c r="F2" s="817"/>
      <c r="G2" s="817"/>
      <c r="H2" s="817"/>
      <c r="I2" s="817"/>
      <c r="J2" s="817"/>
    </row>
    <row r="3" spans="1:10" ht="26.25" x14ac:dyDescent="0.2">
      <c r="A3" s="818" t="s">
        <v>356</v>
      </c>
      <c r="B3" s="818"/>
      <c r="C3" s="818"/>
      <c r="D3" s="818"/>
      <c r="E3" s="818"/>
      <c r="F3" s="818"/>
      <c r="G3" s="818"/>
      <c r="H3" s="818"/>
      <c r="I3" s="818"/>
      <c r="J3" s="818"/>
    </row>
    <row r="4" spans="1:10" ht="63.75" customHeight="1" x14ac:dyDescent="0.2">
      <c r="B4" s="816" t="s">
        <v>357</v>
      </c>
      <c r="C4" s="816"/>
      <c r="D4" s="816"/>
      <c r="E4" s="816"/>
      <c r="F4" s="816"/>
      <c r="G4" s="816"/>
      <c r="H4" s="816"/>
      <c r="I4" s="816"/>
      <c r="J4" s="816"/>
    </row>
    <row r="5" spans="1:10" x14ac:dyDescent="0.2">
      <c r="B5" s="559"/>
    </row>
    <row r="6" spans="1:10" ht="18.75" x14ac:dyDescent="0.2">
      <c r="B6" s="558" t="s">
        <v>358</v>
      </c>
    </row>
    <row r="18" spans="1:2" ht="65.25" customHeight="1" x14ac:dyDescent="0.2"/>
    <row r="19" spans="1:2" ht="18.75" x14ac:dyDescent="0.3">
      <c r="A19" s="467" t="s">
        <v>348</v>
      </c>
    </row>
    <row r="21" spans="1:2" ht="18.75" x14ac:dyDescent="0.3">
      <c r="A21" s="466"/>
      <c r="B21" s="467" t="s">
        <v>349</v>
      </c>
    </row>
    <row r="74" spans="2:5" ht="20.25" x14ac:dyDescent="0.3">
      <c r="B74" s="468"/>
    </row>
    <row r="75" spans="2:5" ht="18" x14ac:dyDescent="0.25">
      <c r="B75" s="472"/>
      <c r="C75" s="473"/>
    </row>
    <row r="77" spans="2:5" ht="20.100000000000001" customHeight="1" x14ac:dyDescent="0.2">
      <c r="B77" s="384"/>
      <c r="C77" s="384"/>
      <c r="D77" s="384"/>
      <c r="E77" s="384"/>
    </row>
    <row r="78" spans="2:5" ht="20.100000000000001" customHeight="1" x14ac:dyDescent="0.2">
      <c r="B78" s="470"/>
      <c r="C78" s="384"/>
      <c r="D78" s="384"/>
      <c r="E78" s="384"/>
    </row>
    <row r="79" spans="2:5" ht="20.100000000000001" customHeight="1" x14ac:dyDescent="0.2">
      <c r="B79" s="470"/>
      <c r="C79" s="384"/>
      <c r="D79" s="384"/>
      <c r="E79" s="384"/>
    </row>
    <row r="80" spans="2:5" s="19" customFormat="1" ht="20.100000000000001" customHeight="1" x14ac:dyDescent="0.2">
      <c r="B80" s="470"/>
      <c r="C80" s="384"/>
      <c r="D80" s="384"/>
      <c r="E80" s="384"/>
    </row>
    <row r="81" spans="2:5" s="19" customFormat="1" ht="20.100000000000001" customHeight="1" x14ac:dyDescent="0.2">
      <c r="B81" s="470"/>
      <c r="C81" s="384"/>
      <c r="D81" s="384"/>
      <c r="E81" s="384"/>
    </row>
    <row r="82" spans="2:5" s="459" customFormat="1" ht="20.100000000000001" customHeight="1" x14ac:dyDescent="0.2">
      <c r="B82" s="470"/>
      <c r="C82" s="384"/>
      <c r="D82" s="384"/>
      <c r="E82" s="384"/>
    </row>
    <row r="83" spans="2:5" s="459" customFormat="1" ht="20.100000000000001" customHeight="1" x14ac:dyDescent="0.2">
      <c r="B83" s="470"/>
      <c r="C83" s="384"/>
      <c r="D83" s="384"/>
      <c r="E83" s="384"/>
    </row>
    <row r="84" spans="2:5" ht="20.100000000000001" customHeight="1" x14ac:dyDescent="0.2">
      <c r="B84" s="384"/>
      <c r="C84" s="384"/>
      <c r="D84" s="384"/>
      <c r="E84" s="384"/>
    </row>
    <row r="85" spans="2:5" ht="20.100000000000001" customHeight="1" x14ac:dyDescent="0.2">
      <c r="B85" s="384"/>
      <c r="C85" s="384"/>
      <c r="D85" s="384"/>
      <c r="E85" s="384"/>
    </row>
    <row r="86" spans="2:5" ht="20.100000000000001" customHeight="1" x14ac:dyDescent="0.2">
      <c r="B86" s="470"/>
      <c r="C86" s="384"/>
      <c r="D86" s="384"/>
      <c r="E86" s="384"/>
    </row>
    <row r="87" spans="2:5" ht="20.100000000000001" customHeight="1" x14ac:dyDescent="0.2">
      <c r="B87" s="470"/>
      <c r="C87" s="384"/>
      <c r="D87" s="384"/>
      <c r="E87" s="384"/>
    </row>
    <row r="88" spans="2:5" ht="20.100000000000001" customHeight="1" x14ac:dyDescent="0.2">
      <c r="B88" s="470"/>
      <c r="C88" s="384"/>
      <c r="D88" s="384"/>
      <c r="E88" s="384"/>
    </row>
    <row r="89" spans="2:5" ht="20.100000000000001" customHeight="1" x14ac:dyDescent="0.2">
      <c r="B89" s="470"/>
      <c r="C89" s="384"/>
      <c r="D89" s="384"/>
      <c r="E89" s="384"/>
    </row>
    <row r="90" spans="2:5" ht="35.25" customHeight="1" x14ac:dyDescent="0.2">
      <c r="B90" s="469"/>
      <c r="C90" s="384"/>
      <c r="D90" s="514"/>
      <c r="E90" s="514"/>
    </row>
    <row r="91" spans="2:5" ht="20.100000000000001" customHeight="1" x14ac:dyDescent="0.2">
      <c r="B91" s="470"/>
      <c r="C91" s="384"/>
      <c r="D91" s="384"/>
      <c r="E91" s="384"/>
    </row>
    <row r="92" spans="2:5" ht="20.100000000000001" customHeight="1" x14ac:dyDescent="0.2">
      <c r="B92" s="470"/>
      <c r="C92" s="384"/>
      <c r="D92" s="384"/>
      <c r="E92" s="384"/>
    </row>
    <row r="93" spans="2:5" ht="20.100000000000001" customHeight="1" x14ac:dyDescent="0.2">
      <c r="B93" s="470"/>
      <c r="C93" s="384"/>
      <c r="D93" s="384"/>
      <c r="E93" s="384"/>
    </row>
    <row r="94" spans="2:5" ht="20.100000000000001" customHeight="1" x14ac:dyDescent="0.2">
      <c r="B94" s="384"/>
      <c r="C94" s="384"/>
      <c r="D94" s="384"/>
      <c r="E94" s="384"/>
    </row>
    <row r="95" spans="2:5" ht="20.100000000000001" customHeight="1" x14ac:dyDescent="0.2">
      <c r="B95" s="384"/>
      <c r="C95" s="384"/>
      <c r="D95" s="384"/>
      <c r="E95" s="384"/>
    </row>
    <row r="96" spans="2:5" ht="36" customHeight="1" x14ac:dyDescent="0.2">
      <c r="B96" s="470"/>
      <c r="C96" s="384"/>
      <c r="D96" s="515"/>
      <c r="E96" s="515"/>
    </row>
    <row r="97" spans="2:5" ht="24.95" customHeight="1" x14ac:dyDescent="0.2">
      <c r="B97" s="384"/>
      <c r="C97" s="384"/>
      <c r="D97" s="384"/>
      <c r="E97" s="384"/>
    </row>
    <row r="98" spans="2:5" ht="35.25" customHeight="1" x14ac:dyDescent="0.2">
      <c r="B98" s="470"/>
      <c r="C98" s="384"/>
      <c r="D98" s="384"/>
      <c r="E98" s="384"/>
    </row>
    <row r="99" spans="2:5" ht="20.100000000000001" customHeight="1" x14ac:dyDescent="0.2">
      <c r="B99" s="470"/>
      <c r="C99" s="384"/>
      <c r="D99" s="384"/>
      <c r="E99" s="384"/>
    </row>
    <row r="100" spans="2:5" ht="20.100000000000001" customHeight="1" x14ac:dyDescent="0.2">
      <c r="B100" s="470"/>
      <c r="C100" s="384"/>
      <c r="D100" s="384"/>
      <c r="E100" s="384"/>
    </row>
    <row r="101" spans="2:5" ht="20.100000000000001" customHeight="1" x14ac:dyDescent="0.2">
      <c r="B101" s="384"/>
      <c r="C101" s="384"/>
      <c r="D101" s="384"/>
      <c r="E101" s="384"/>
    </row>
    <row r="102" spans="2:5" ht="20.100000000000001" customHeight="1" x14ac:dyDescent="0.2">
      <c r="B102" s="384"/>
      <c r="C102" s="384"/>
      <c r="D102" s="384"/>
      <c r="E102" s="384"/>
    </row>
    <row r="103" spans="2:5" ht="20.100000000000001" customHeight="1" x14ac:dyDescent="0.2">
      <c r="B103" s="470"/>
      <c r="C103" s="384"/>
      <c r="D103" s="384"/>
      <c r="E103" s="384"/>
    </row>
    <row r="104" spans="2:5" ht="20.100000000000001" customHeight="1" x14ac:dyDescent="0.2">
      <c r="B104" s="470"/>
      <c r="C104" s="384"/>
      <c r="D104" s="384"/>
      <c r="E104" s="384"/>
    </row>
    <row r="105" spans="2:5" ht="20.100000000000001" customHeight="1" x14ac:dyDescent="0.2">
      <c r="B105" s="470"/>
      <c r="C105" s="384"/>
      <c r="D105" s="384"/>
      <c r="E105" s="384"/>
    </row>
    <row r="106" spans="2:5" ht="20.100000000000001" customHeight="1" x14ac:dyDescent="0.2">
      <c r="B106" s="384"/>
      <c r="D106" s="384"/>
      <c r="E106" s="384"/>
    </row>
    <row r="107" spans="2:5" ht="40.5" customHeight="1" x14ac:dyDescent="0.2">
      <c r="B107" s="470"/>
      <c r="C107" s="384"/>
      <c r="D107" s="384"/>
      <c r="E107" s="384"/>
    </row>
    <row r="108" spans="2:5" ht="24.95" customHeight="1" x14ac:dyDescent="0.2">
      <c r="B108" s="470"/>
      <c r="C108" s="384"/>
      <c r="D108" s="384"/>
      <c r="E108" s="384"/>
    </row>
    <row r="109" spans="2:5" ht="20.100000000000001" customHeight="1" x14ac:dyDescent="0.2">
      <c r="B109" s="470"/>
      <c r="C109" s="384"/>
      <c r="D109" s="384"/>
      <c r="E109" s="384"/>
    </row>
    <row r="110" spans="2:5" ht="20.100000000000001" customHeight="1" x14ac:dyDescent="0.2">
      <c r="B110" s="470"/>
      <c r="C110" s="384"/>
      <c r="D110" s="384"/>
      <c r="E110" s="384"/>
    </row>
    <row r="111" spans="2:5" ht="20.100000000000001" customHeight="1" x14ac:dyDescent="0.2">
      <c r="B111" s="384"/>
      <c r="C111" s="384"/>
      <c r="D111" s="384"/>
      <c r="E111" s="384"/>
    </row>
    <row r="112" spans="2:5" ht="24.95" customHeight="1" x14ac:dyDescent="0.2">
      <c r="B112" s="384"/>
      <c r="C112" s="384"/>
      <c r="D112" s="384"/>
      <c r="E112" s="384"/>
    </row>
    <row r="113" spans="1:7" ht="24.95" customHeight="1" x14ac:dyDescent="0.2">
      <c r="A113" s="815"/>
      <c r="B113" s="815"/>
      <c r="C113" s="815"/>
      <c r="D113" s="815"/>
      <c r="E113" s="815"/>
      <c r="F113" s="815"/>
      <c r="G113" s="815"/>
    </row>
    <row r="114" spans="1:7" ht="15" x14ac:dyDescent="0.2">
      <c r="B114" s="470"/>
      <c r="C114" s="384"/>
      <c r="D114" s="384"/>
      <c r="E114" s="384"/>
    </row>
    <row r="115" spans="1:7" ht="15" x14ac:dyDescent="0.2">
      <c r="B115" s="471"/>
      <c r="C115" s="19"/>
      <c r="D115" s="19"/>
      <c r="E115" s="384"/>
    </row>
    <row r="116" spans="1:7" ht="15" x14ac:dyDescent="0.2">
      <c r="B116" s="470"/>
      <c r="C116" s="384"/>
      <c r="D116" s="384"/>
      <c r="E116" s="384"/>
    </row>
    <row r="117" spans="1:7" ht="15" x14ac:dyDescent="0.2">
      <c r="B117" s="471"/>
      <c r="C117" s="19"/>
      <c r="D117" s="384"/>
      <c r="E117" s="384"/>
    </row>
    <row r="118" spans="1:7" ht="15" x14ac:dyDescent="0.2">
      <c r="B118" s="470"/>
      <c r="C118" s="384"/>
      <c r="D118" s="384"/>
      <c r="E118" s="384"/>
    </row>
    <row r="119" spans="1:7" ht="15" x14ac:dyDescent="0.2">
      <c r="B119" s="470"/>
      <c r="C119" s="384"/>
      <c r="D119" s="384"/>
      <c r="E119" s="384"/>
    </row>
    <row r="120" spans="1:7" ht="15" x14ac:dyDescent="0.2">
      <c r="B120" s="470"/>
      <c r="C120" s="384"/>
      <c r="D120" s="384"/>
      <c r="E120" s="384"/>
    </row>
    <row r="121" spans="1:7" ht="15" x14ac:dyDescent="0.2">
      <c r="B121" s="470"/>
      <c r="C121" s="384"/>
      <c r="D121" s="384"/>
      <c r="E121" s="384"/>
    </row>
    <row r="122" spans="1:7" ht="15" x14ac:dyDescent="0.2">
      <c r="B122" s="470"/>
      <c r="C122" s="384"/>
      <c r="D122" s="384"/>
      <c r="E122" s="384"/>
    </row>
    <row r="123" spans="1:7" ht="15" x14ac:dyDescent="0.2">
      <c r="B123" s="470"/>
      <c r="C123" s="384"/>
      <c r="D123" s="384"/>
      <c r="E123" s="384"/>
    </row>
    <row r="124" spans="1:7" ht="15" x14ac:dyDescent="0.2">
      <c r="B124" s="470"/>
      <c r="C124" s="384"/>
      <c r="D124" s="384"/>
      <c r="E124" s="384"/>
    </row>
    <row r="125" spans="1:7" ht="15" x14ac:dyDescent="0.2">
      <c r="B125" s="470"/>
      <c r="C125" s="384"/>
      <c r="D125" s="384"/>
      <c r="E125" s="384"/>
    </row>
    <row r="126" spans="1:7" ht="15" x14ac:dyDescent="0.2">
      <c r="B126" s="470"/>
      <c r="C126" s="384"/>
      <c r="D126" s="384"/>
      <c r="E126" s="384"/>
    </row>
    <row r="127" spans="1:7" ht="15" x14ac:dyDescent="0.2">
      <c r="B127" s="470"/>
      <c r="C127" s="384"/>
      <c r="D127" s="384"/>
      <c r="E127" s="384"/>
    </row>
    <row r="128" spans="1:7" ht="15" x14ac:dyDescent="0.2">
      <c r="B128" s="470"/>
      <c r="C128" s="384"/>
      <c r="D128" s="384"/>
      <c r="E128" s="384"/>
    </row>
    <row r="129" spans="2:5" ht="15" x14ac:dyDescent="0.2">
      <c r="B129" s="470"/>
      <c r="C129" s="384"/>
      <c r="D129" s="384"/>
      <c r="E129" s="384"/>
    </row>
    <row r="130" spans="2:5" ht="15" x14ac:dyDescent="0.2">
      <c r="B130" s="470"/>
      <c r="C130" s="384"/>
      <c r="D130" s="384"/>
      <c r="E130" s="384"/>
    </row>
    <row r="131" spans="2:5" ht="15" x14ac:dyDescent="0.2">
      <c r="B131" s="470"/>
      <c r="C131" s="384"/>
      <c r="D131" s="384"/>
      <c r="E131" s="384"/>
    </row>
    <row r="132" spans="2:5" ht="15" x14ac:dyDescent="0.2">
      <c r="B132" s="470"/>
      <c r="C132" s="384"/>
      <c r="D132" s="384"/>
      <c r="E132" s="384"/>
    </row>
    <row r="133" spans="2:5" ht="15" x14ac:dyDescent="0.2">
      <c r="B133" s="384"/>
      <c r="C133" s="384"/>
      <c r="D133" s="384"/>
      <c r="E133" s="384"/>
    </row>
    <row r="134" spans="2:5" ht="15" x14ac:dyDescent="0.2">
      <c r="B134" s="384"/>
      <c r="C134" s="384"/>
      <c r="D134" s="384"/>
      <c r="E134" s="384"/>
    </row>
    <row r="135" spans="2:5" ht="15" x14ac:dyDescent="0.2">
      <c r="B135" s="384"/>
      <c r="C135" s="384"/>
      <c r="D135" s="384"/>
      <c r="E135" s="384"/>
    </row>
    <row r="136" spans="2:5" ht="15" x14ac:dyDescent="0.2">
      <c r="B136" s="384"/>
      <c r="C136" s="384"/>
      <c r="D136" s="384"/>
      <c r="E136" s="384"/>
    </row>
    <row r="137" spans="2:5" ht="15" x14ac:dyDescent="0.2">
      <c r="B137" s="384"/>
      <c r="C137" s="384"/>
      <c r="D137" s="384"/>
      <c r="E137" s="384"/>
    </row>
    <row r="138" spans="2:5" ht="15" x14ac:dyDescent="0.2">
      <c r="B138" s="384"/>
      <c r="C138" s="384"/>
      <c r="D138" s="384"/>
      <c r="E138" s="384"/>
    </row>
    <row r="139" spans="2:5" ht="15" x14ac:dyDescent="0.2">
      <c r="B139" s="384"/>
      <c r="C139" s="384"/>
      <c r="D139" s="384"/>
      <c r="E139" s="384"/>
    </row>
    <row r="140" spans="2:5" ht="15" x14ac:dyDescent="0.2">
      <c r="B140" s="384"/>
      <c r="C140" s="384"/>
      <c r="D140" s="384"/>
      <c r="E140" s="384"/>
    </row>
    <row r="141" spans="2:5" ht="15" x14ac:dyDescent="0.2">
      <c r="E141" s="384"/>
    </row>
    <row r="142" spans="2:5" ht="15" x14ac:dyDescent="0.2">
      <c r="E142" s="384"/>
    </row>
    <row r="143" spans="2:5" ht="15" x14ac:dyDescent="0.2">
      <c r="E143" s="384"/>
    </row>
  </sheetData>
  <sheetProtection algorithmName="SHA-512" hashValue="Otss8fSoA5HdTBXQ2oGfwvMMc8LgVTadH15cQgX28Quu64zigEIdf7UjieLAk4cASRHmqwy0XeE0EWreasVyAQ==" saltValue="aAdCRSjkcdcM/9Wj6SxKHQ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B17" sqref="B17"/>
    </sheetView>
  </sheetViews>
  <sheetFormatPr defaultColWidth="8.7109375" defaultRowHeight="12.75" x14ac:dyDescent="0.2"/>
  <cols>
    <col min="1" max="1" width="24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38" customWidth="1"/>
    <col min="24" max="24" width="14.42578125" style="38" customWidth="1"/>
    <col min="25" max="25" width="15.42578125" style="38" customWidth="1"/>
    <col min="26" max="27" width="13.5703125" style="38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63" t="s">
        <v>0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147"/>
      <c r="V1" s="588" t="s">
        <v>393</v>
      </c>
      <c r="W1" s="534"/>
      <c r="Y1" s="540" t="s">
        <v>433</v>
      </c>
      <c r="Z1" s="535"/>
      <c r="AA1" s="580"/>
      <c r="AE1" s="41" t="s">
        <v>1</v>
      </c>
      <c r="AF1" s="19"/>
      <c r="AG1" s="19"/>
      <c r="AH1" s="19"/>
    </row>
    <row r="2" spans="1:45" x14ac:dyDescent="0.2">
      <c r="A2" s="863" t="s">
        <v>2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147"/>
      <c r="V2" s="357"/>
      <c r="W2" s="543" t="s">
        <v>441</v>
      </c>
      <c r="X2" s="543" t="s">
        <v>443</v>
      </c>
      <c r="Y2" s="543" t="s">
        <v>445</v>
      </c>
      <c r="Z2" s="543" t="s">
        <v>448</v>
      </c>
      <c r="AA2" s="543" t="s">
        <v>449</v>
      </c>
      <c r="AE2" s="19">
        <f>ENDDATE-CURRENTFYE</f>
        <v>-44742</v>
      </c>
      <c r="AF2" s="19" t="s">
        <v>3</v>
      </c>
      <c r="AG2" s="19"/>
      <c r="AH2" s="19"/>
    </row>
    <row r="3" spans="1:45" ht="32.25" thickBot="1" x14ac:dyDescent="0.3">
      <c r="A3" s="808" t="s">
        <v>453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357"/>
      <c r="W3" s="541" t="s">
        <v>440</v>
      </c>
      <c r="X3" s="541" t="s">
        <v>444</v>
      </c>
      <c r="Y3" s="541" t="s">
        <v>446</v>
      </c>
      <c r="Z3" s="541" t="s">
        <v>447</v>
      </c>
      <c r="AA3" s="541" t="s">
        <v>450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64" t="s">
        <v>288</v>
      </c>
      <c r="P4" s="865"/>
      <c r="Q4" s="866"/>
      <c r="V4" s="359" t="s">
        <v>247</v>
      </c>
      <c r="W4" s="542">
        <f>+W6+W5</f>
        <v>3519</v>
      </c>
      <c r="X4" s="542">
        <f>+X6+X5</f>
        <v>4047</v>
      </c>
      <c r="Y4" s="542">
        <f>+Y6+Y5</f>
        <v>4654</v>
      </c>
      <c r="Z4" s="542">
        <f>+Z6+Z5</f>
        <v>5352</v>
      </c>
      <c r="AA4" s="542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58"/>
      <c r="C5" s="58"/>
      <c r="D5" s="58" t="s">
        <v>326</v>
      </c>
      <c r="E5" s="841"/>
      <c r="F5" s="841"/>
      <c r="G5" s="842"/>
      <c r="H5" s="842"/>
      <c r="I5" s="842"/>
      <c r="J5" s="842"/>
      <c r="K5" s="842"/>
      <c r="L5" s="842"/>
      <c r="M5" s="65"/>
      <c r="N5" s="257"/>
      <c r="O5" s="867"/>
      <c r="P5" s="865"/>
      <c r="Q5" s="866"/>
      <c r="V5" s="359" t="s">
        <v>245</v>
      </c>
      <c r="W5" s="542">
        <v>1466</v>
      </c>
      <c r="X5" s="542">
        <v>1686</v>
      </c>
      <c r="Y5" s="542">
        <v>1939</v>
      </c>
      <c r="Z5" s="542">
        <v>2230</v>
      </c>
      <c r="AA5" s="542">
        <v>2564</v>
      </c>
      <c r="AB5" s="358"/>
      <c r="AE5" s="19">
        <v>365</v>
      </c>
      <c r="AF5" s="19" t="s">
        <v>7</v>
      </c>
      <c r="AG5" s="19"/>
      <c r="AH5" s="19"/>
    </row>
    <row r="6" spans="1:45" x14ac:dyDescent="0.2">
      <c r="A6" s="19"/>
      <c r="B6" s="58"/>
      <c r="C6" s="58"/>
      <c r="D6" s="58" t="s">
        <v>327</v>
      </c>
      <c r="E6" s="841"/>
      <c r="F6" s="841"/>
      <c r="G6" s="842"/>
      <c r="H6" s="842"/>
      <c r="I6" s="842"/>
      <c r="J6" s="842"/>
      <c r="K6" s="842"/>
      <c r="L6" s="842"/>
      <c r="M6" s="63"/>
      <c r="N6" s="258"/>
      <c r="O6" s="868" t="s">
        <v>125</v>
      </c>
      <c r="P6" s="869"/>
      <c r="Q6" s="870"/>
      <c r="V6" s="359" t="s">
        <v>248</v>
      </c>
      <c r="W6" s="542">
        <v>2053</v>
      </c>
      <c r="X6" s="542">
        <v>2361</v>
      </c>
      <c r="Y6" s="542">
        <v>2715</v>
      </c>
      <c r="Z6" s="542">
        <v>3122</v>
      </c>
      <c r="AA6" s="542">
        <v>3590</v>
      </c>
      <c r="AB6" s="358"/>
      <c r="AE6" s="19"/>
      <c r="AF6" s="19" t="s">
        <v>9</v>
      </c>
      <c r="AG6" s="19"/>
      <c r="AH6" s="19"/>
    </row>
    <row r="7" spans="1:45" x14ac:dyDescent="0.2">
      <c r="A7" s="19"/>
      <c r="B7" s="58"/>
      <c r="C7" s="58"/>
      <c r="D7" s="58" t="s">
        <v>328</v>
      </c>
      <c r="E7" s="841"/>
      <c r="F7" s="841"/>
      <c r="G7" s="842"/>
      <c r="H7" s="842"/>
      <c r="I7" s="842"/>
      <c r="J7" s="842"/>
      <c r="K7" s="842"/>
      <c r="L7" s="842"/>
      <c r="M7" s="63"/>
      <c r="N7" s="259"/>
      <c r="O7" s="868" t="s">
        <v>268</v>
      </c>
      <c r="P7" s="869"/>
      <c r="Q7" s="871"/>
      <c r="V7" s="359" t="s">
        <v>244</v>
      </c>
      <c r="W7" s="542">
        <f>+W6-W8</f>
        <v>1173</v>
      </c>
      <c r="X7" s="542">
        <f>+X6-X8</f>
        <v>1349</v>
      </c>
      <c r="Y7" s="542">
        <f>+Y6-Y8</f>
        <v>1552</v>
      </c>
      <c r="Z7" s="542">
        <f>+Z6-Z8</f>
        <v>1784</v>
      </c>
      <c r="AA7" s="542">
        <f>+AA6-AA8</f>
        <v>2051</v>
      </c>
      <c r="AB7" s="579"/>
      <c r="AE7" s="19"/>
      <c r="AF7" s="19" t="s">
        <v>11</v>
      </c>
      <c r="AG7" s="19"/>
      <c r="AH7" s="19"/>
    </row>
    <row r="8" spans="1:45" ht="13.5" thickBot="1" x14ac:dyDescent="0.25">
      <c r="A8" s="19"/>
      <c r="B8" s="58"/>
      <c r="C8" s="58"/>
      <c r="D8" s="58" t="s">
        <v>329</v>
      </c>
      <c r="E8" s="841"/>
      <c r="F8" s="841"/>
      <c r="G8" s="842"/>
      <c r="H8" s="842"/>
      <c r="I8" s="842"/>
      <c r="J8" s="842"/>
      <c r="K8" s="842"/>
      <c r="L8" s="842"/>
      <c r="M8" s="63"/>
      <c r="N8" s="258"/>
      <c r="O8" s="875" t="s">
        <v>267</v>
      </c>
      <c r="P8" s="876"/>
      <c r="Q8" s="877"/>
      <c r="V8" s="577" t="s">
        <v>246</v>
      </c>
      <c r="W8" s="578">
        <v>880</v>
      </c>
      <c r="X8" s="578">
        <v>1012</v>
      </c>
      <c r="Y8" s="578">
        <v>1163</v>
      </c>
      <c r="Z8" s="578">
        <v>1338</v>
      </c>
      <c r="AA8" s="578">
        <v>1539</v>
      </c>
      <c r="AB8" s="576"/>
      <c r="AE8" s="19"/>
      <c r="AG8" s="19"/>
      <c r="AH8" s="19"/>
    </row>
    <row r="9" spans="1:45" x14ac:dyDescent="0.2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68" t="s">
        <v>265</v>
      </c>
      <c r="P9" s="869"/>
      <c r="Q9" s="870"/>
      <c r="V9" s="581"/>
      <c r="W9" s="582"/>
      <c r="X9" s="535"/>
      <c r="Y9" s="535"/>
      <c r="Z9" s="535"/>
      <c r="AA9" s="535"/>
      <c r="AB9" s="576"/>
      <c r="AM9" s="889"/>
      <c r="AN9" s="889"/>
      <c r="AO9" s="889"/>
      <c r="AP9" s="889"/>
      <c r="AQ9" s="889"/>
      <c r="AR9" s="889"/>
      <c r="AS9" s="889"/>
    </row>
    <row r="10" spans="1:45" x14ac:dyDescent="0.2">
      <c r="A10" s="19"/>
      <c r="B10" s="58"/>
      <c r="C10" s="58"/>
      <c r="D10" s="58" t="s">
        <v>330</v>
      </c>
      <c r="E10" s="234">
        <v>44742</v>
      </c>
      <c r="F10" s="242"/>
      <c r="H10" s="855" t="s">
        <v>323</v>
      </c>
      <c r="I10" s="856"/>
      <c r="J10" s="856"/>
      <c r="K10" s="856"/>
      <c r="L10" s="165"/>
      <c r="M10" s="63"/>
      <c r="N10" s="258"/>
      <c r="O10" s="868" t="s">
        <v>266</v>
      </c>
      <c r="P10" s="869"/>
      <c r="Q10" s="871"/>
      <c r="W10"/>
      <c r="X10"/>
      <c r="Y10"/>
      <c r="Z10"/>
      <c r="AA10"/>
      <c r="AM10" s="342"/>
      <c r="AN10" s="342"/>
      <c r="AO10" s="342"/>
      <c r="AP10" s="342"/>
      <c r="AQ10" s="342"/>
      <c r="AR10" s="342"/>
      <c r="AS10" s="342"/>
    </row>
    <row r="11" spans="1:45" x14ac:dyDescent="0.2">
      <c r="A11" s="19"/>
      <c r="B11" s="58"/>
      <c r="C11" s="58"/>
      <c r="D11" s="58" t="s">
        <v>331</v>
      </c>
      <c r="E11" s="545"/>
      <c r="F11" s="243"/>
      <c r="H11" s="855" t="s">
        <v>181</v>
      </c>
      <c r="I11" s="856"/>
      <c r="J11" s="856"/>
      <c r="K11" s="856"/>
      <c r="L11" s="66">
        <f>IF(AND(STARTDATE="",ENDDATE=""),0,ROUNDUP(totalyrs,0))</f>
        <v>0</v>
      </c>
      <c r="M11" s="63"/>
      <c r="N11" s="258"/>
      <c r="O11" s="868" t="s">
        <v>126</v>
      </c>
      <c r="P11" s="869"/>
      <c r="Q11" s="870"/>
      <c r="W11"/>
      <c r="X11"/>
      <c r="Y11"/>
      <c r="Z11"/>
      <c r="AA11"/>
      <c r="AM11" s="342"/>
      <c r="AN11" s="343"/>
      <c r="AO11" s="343"/>
      <c r="AP11" s="343"/>
      <c r="AQ11" s="343"/>
      <c r="AR11" s="343"/>
      <c r="AS11" s="343"/>
    </row>
    <row r="12" spans="1:45" x14ac:dyDescent="0.2">
      <c r="A12" s="19"/>
      <c r="B12" s="58"/>
      <c r="C12" s="58"/>
      <c r="D12" s="58" t="s">
        <v>332</v>
      </c>
      <c r="E12" s="544"/>
      <c r="F12" s="243"/>
      <c r="H12" s="855" t="s">
        <v>112</v>
      </c>
      <c r="I12" s="856"/>
      <c r="J12" s="856"/>
      <c r="K12" s="856"/>
      <c r="L12" s="66">
        <f>ABS(CURRENTFYE-ENDDATE)</f>
        <v>44742</v>
      </c>
      <c r="M12" s="64"/>
      <c r="N12" s="258"/>
      <c r="O12" s="868" t="s">
        <v>128</v>
      </c>
      <c r="P12" s="897"/>
      <c r="Q12" s="871"/>
      <c r="W12"/>
      <c r="X12"/>
      <c r="Y12"/>
      <c r="Z12"/>
      <c r="AA12"/>
      <c r="AE12" s="42"/>
      <c r="AF12" s="42"/>
      <c r="AG12" s="42"/>
      <c r="AM12" s="342"/>
      <c r="AN12" s="343"/>
      <c r="AO12" s="343"/>
      <c r="AP12" s="343"/>
      <c r="AQ12" s="343"/>
      <c r="AR12" s="343"/>
      <c r="AS12" s="343"/>
    </row>
    <row r="13" spans="1:45" ht="21" customHeight="1" x14ac:dyDescent="0.25">
      <c r="A13" s="490" t="s">
        <v>333</v>
      </c>
      <c r="B13" s="493" t="s">
        <v>341</v>
      </c>
      <c r="C13" s="345"/>
      <c r="D13" s="58"/>
      <c r="E13" s="486"/>
      <c r="F13" s="243"/>
      <c r="H13" s="58"/>
      <c r="I13" s="147"/>
      <c r="J13" s="147"/>
      <c r="K13" s="147"/>
      <c r="L13" s="340"/>
      <c r="M13" s="64"/>
      <c r="N13" s="258"/>
      <c r="O13" s="872" t="s">
        <v>320</v>
      </c>
      <c r="P13" s="873"/>
      <c r="Q13" s="874"/>
      <c r="W13"/>
      <c r="X13"/>
      <c r="Y13"/>
      <c r="Z13"/>
      <c r="AA13"/>
      <c r="AE13" s="42"/>
      <c r="AF13" s="42"/>
      <c r="AG13" s="42"/>
      <c r="AM13" s="342"/>
      <c r="AN13" s="343"/>
      <c r="AO13" s="343"/>
      <c r="AP13" s="343"/>
      <c r="AQ13" s="343"/>
      <c r="AR13" s="343"/>
      <c r="AS13" s="343"/>
    </row>
    <row r="14" spans="1:45" ht="13.5" customHeight="1" x14ac:dyDescent="0.25">
      <c r="A14" s="385"/>
      <c r="C14" s="495" t="s">
        <v>442</v>
      </c>
      <c r="D14" s="487"/>
      <c r="E14" s="487"/>
      <c r="G14" s="19"/>
      <c r="H14" s="19"/>
      <c r="I14" s="19"/>
      <c r="J14" s="19"/>
      <c r="K14" s="252"/>
      <c r="L14" s="48"/>
      <c r="N14" s="260"/>
      <c r="O14" s="872" t="s">
        <v>321</v>
      </c>
      <c r="P14" s="882"/>
      <c r="Q14" s="874"/>
      <c r="W14"/>
      <c r="X14"/>
      <c r="Y14"/>
      <c r="Z14"/>
      <c r="AA14"/>
      <c r="AE14" s="42" t="s">
        <v>13</v>
      </c>
      <c r="AF14" s="42"/>
      <c r="AG14" s="42"/>
      <c r="AH14" s="42"/>
      <c r="AM14" s="342"/>
      <c r="AN14" s="343"/>
      <c r="AO14" s="343"/>
      <c r="AP14" s="343"/>
      <c r="AQ14" s="343"/>
      <c r="AR14" s="343"/>
      <c r="AS14" s="343"/>
    </row>
    <row r="15" spans="1:45" ht="18.95" customHeight="1" x14ac:dyDescent="0.2">
      <c r="A15" s="65" t="s">
        <v>325</v>
      </c>
      <c r="B15" s="522"/>
      <c r="C15" s="494" t="s">
        <v>334</v>
      </c>
      <c r="D15" s="496"/>
      <c r="E15" s="491" t="s">
        <v>324</v>
      </c>
      <c r="G15" s="855" t="s">
        <v>140</v>
      </c>
      <c r="H15" s="856"/>
      <c r="I15" s="856"/>
      <c r="J15" s="856"/>
      <c r="K15" s="856"/>
      <c r="L15" s="81">
        <f>ROUND((ENDDATE-STARTDATE)/(365.25/12),0)</f>
        <v>0</v>
      </c>
      <c r="M15" s="47"/>
      <c r="N15" s="159"/>
      <c r="O15" s="883" t="s">
        <v>286</v>
      </c>
      <c r="P15" s="884"/>
      <c r="Q15" s="885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492" t="s">
        <v>318</v>
      </c>
      <c r="B16" s="39"/>
      <c r="C16" s="497"/>
      <c r="D16" s="488"/>
      <c r="G16" s="855" t="s">
        <v>113</v>
      </c>
      <c r="H16" s="856"/>
      <c r="I16" s="856"/>
      <c r="J16" s="856"/>
      <c r="K16" s="856"/>
      <c r="L16" s="20">
        <v>8.0999999999999996E-3</v>
      </c>
      <c r="M16" s="19"/>
      <c r="O16" s="898" t="s">
        <v>287</v>
      </c>
      <c r="P16" s="899"/>
      <c r="Q16" s="900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65" t="s">
        <v>319</v>
      </c>
      <c r="B17" s="521"/>
      <c r="C17" s="513" t="s">
        <v>345</v>
      </c>
      <c r="D17" s="58"/>
      <c r="G17" s="855" t="s">
        <v>114</v>
      </c>
      <c r="H17" s="856"/>
      <c r="I17" s="856"/>
      <c r="J17" s="856"/>
      <c r="K17" s="856"/>
      <c r="L17" s="21">
        <f>SUM(AE17:AH17)</f>
        <v>1</v>
      </c>
      <c r="M17" s="19"/>
      <c r="O17" s="400"/>
      <c r="P17" s="400"/>
      <c r="Q17" s="893" t="s">
        <v>292</v>
      </c>
      <c r="R17" s="891" t="s">
        <v>293</v>
      </c>
      <c r="V17" s="583"/>
      <c r="W17" s="585"/>
      <c r="X17" s="585"/>
      <c r="Y17" s="585"/>
      <c r="Z17" s="585"/>
      <c r="AA17" s="585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50000000000001" customHeight="1" thickBot="1" x14ac:dyDescent="0.25">
      <c r="A18" s="65" t="s">
        <v>317</v>
      </c>
      <c r="B18" s="509"/>
      <c r="C18" s="513" t="s">
        <v>346</v>
      </c>
      <c r="D18" s="58"/>
      <c r="E18" s="255"/>
      <c r="F18" s="811"/>
      <c r="G18" s="859"/>
      <c r="H18" s="860"/>
      <c r="I18" s="860"/>
      <c r="J18" s="860"/>
      <c r="K18" s="860"/>
      <c r="L18" s="338">
        <v>203700</v>
      </c>
      <c r="M18" s="245"/>
      <c r="N18" s="244"/>
      <c r="O18" s="244"/>
      <c r="P18" s="147"/>
      <c r="Q18" s="894"/>
      <c r="R18" s="892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65" t="s">
        <v>322</v>
      </c>
      <c r="B19" s="510"/>
      <c r="C19" s="513" t="s">
        <v>347</v>
      </c>
      <c r="D19" s="58"/>
      <c r="E19" s="254"/>
      <c r="F19" s="810" t="str">
        <f>IFERROR(IF(SALCAPAPPLIES="X","X",""),"")</f>
        <v/>
      </c>
      <c r="G19" s="888"/>
      <c r="H19" s="860"/>
      <c r="I19" s="860"/>
      <c r="J19" s="860"/>
      <c r="K19" s="860"/>
      <c r="L19" s="503">
        <v>999999</v>
      </c>
      <c r="M19" s="19"/>
      <c r="P19" s="147"/>
      <c r="Q19" s="894"/>
      <c r="R19" s="892"/>
      <c r="S19" s="439"/>
      <c r="T19" s="19"/>
      <c r="U19" s="19"/>
      <c r="AB19" s="19"/>
      <c r="AC19" s="19"/>
      <c r="AD19" s="19"/>
      <c r="AE19" s="19"/>
      <c r="AF19" s="19"/>
      <c r="AG19" s="19"/>
      <c r="AN19" s="187" t="s">
        <v>204</v>
      </c>
    </row>
    <row r="20" spans="1:51" ht="23.25" customHeight="1" x14ac:dyDescent="0.2">
      <c r="A20" s="511" t="s">
        <v>344</v>
      </c>
      <c r="B20" s="516"/>
      <c r="C20" s="504">
        <f>IF(B20&gt;0,B20,(IF(AND(B15="X",B18="X"),0.435,(IF(AND(B15="X",B19="X"),0.54,(IF(AND(D15="X",B18="X"),0.26,(IF(AND(D15="X",B19="X"),0.29,IF(AND(D15="X",B17="X"),0.26,0))))))))))</f>
        <v>0</v>
      </c>
      <c r="D20" s="58"/>
      <c r="E20" s="19"/>
      <c r="F20" s="19"/>
      <c r="G20" s="878"/>
      <c r="H20" s="879"/>
      <c r="I20" s="879"/>
      <c r="J20" s="879"/>
      <c r="K20" s="879"/>
      <c r="L20" s="19"/>
      <c r="M20" s="19"/>
      <c r="P20" s="19"/>
      <c r="Q20" s="406"/>
      <c r="R20" s="407"/>
      <c r="S20" s="890"/>
      <c r="T20" s="489" t="s">
        <v>79</v>
      </c>
      <c r="U20" s="427"/>
      <c r="V20" s="826" t="s">
        <v>367</v>
      </c>
      <c r="W20" s="827"/>
      <c r="X20" s="827"/>
      <c r="Y20" s="828"/>
      <c r="Z20" s="563"/>
      <c r="AA20" s="563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7"/>
    </row>
    <row r="21" spans="1:51" ht="12.75" customHeight="1" x14ac:dyDescent="0.2">
      <c r="A21" s="907" t="s">
        <v>261</v>
      </c>
      <c r="B21" s="902"/>
      <c r="C21" s="409"/>
      <c r="D21" s="251"/>
      <c r="E21" s="635" t="s">
        <v>21</v>
      </c>
      <c r="F21" s="636"/>
      <c r="G21" s="637" t="s">
        <v>212</v>
      </c>
      <c r="H21" s="637" t="s">
        <v>109</v>
      </c>
      <c r="I21" s="638" t="s">
        <v>28</v>
      </c>
      <c r="J21" s="298" t="s">
        <v>208</v>
      </c>
      <c r="K21" s="298"/>
      <c r="L21" s="344" t="s">
        <v>23</v>
      </c>
      <c r="M21" s="298" t="s">
        <v>23</v>
      </c>
      <c r="N21" s="895" t="s">
        <v>24</v>
      </c>
      <c r="O21" s="896"/>
      <c r="P21" s="403" t="s">
        <v>23</v>
      </c>
      <c r="Q21" s="402"/>
      <c r="R21" s="394" t="s">
        <v>290</v>
      </c>
      <c r="S21" s="890"/>
      <c r="T21" s="436" t="s">
        <v>272</v>
      </c>
      <c r="U21" s="429"/>
      <c r="V21" s="829" t="s">
        <v>368</v>
      </c>
      <c r="W21" s="830"/>
      <c r="X21" s="830"/>
      <c r="Y21" s="831"/>
      <c r="Z21" s="564"/>
      <c r="AA21" s="565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6"/>
    </row>
    <row r="22" spans="1:51" ht="13.5" thickBot="1" x14ac:dyDescent="0.25">
      <c r="A22" s="901" t="s">
        <v>262</v>
      </c>
      <c r="B22" s="902"/>
      <c r="C22" s="410" t="s">
        <v>131</v>
      </c>
      <c r="D22" s="294" t="s">
        <v>232</v>
      </c>
      <c r="E22" s="639" t="s">
        <v>29</v>
      </c>
      <c r="F22" s="640" t="s">
        <v>225</v>
      </c>
      <c r="G22" s="641" t="s">
        <v>29</v>
      </c>
      <c r="H22" s="641" t="s">
        <v>110</v>
      </c>
      <c r="I22" s="642" t="s">
        <v>132</v>
      </c>
      <c r="J22" s="294" t="s">
        <v>131</v>
      </c>
      <c r="K22" s="294" t="s">
        <v>29</v>
      </c>
      <c r="L22" s="396" t="s">
        <v>220</v>
      </c>
      <c r="M22" s="294" t="s">
        <v>30</v>
      </c>
      <c r="N22" s="903" t="s">
        <v>29</v>
      </c>
      <c r="O22" s="904"/>
      <c r="P22" s="404" t="s">
        <v>220</v>
      </c>
      <c r="Q22" s="294" t="s">
        <v>131</v>
      </c>
      <c r="R22" s="397" t="s">
        <v>70</v>
      </c>
      <c r="S22" s="890"/>
      <c r="T22" s="436" t="s">
        <v>312</v>
      </c>
      <c r="U22" s="429"/>
      <c r="V22" s="832"/>
      <c r="W22" s="833"/>
      <c r="X22" s="830"/>
      <c r="Y22" s="831"/>
      <c r="Z22" s="565"/>
      <c r="AA22" s="565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6"/>
    </row>
    <row r="23" spans="1:51" ht="13.5" thickBot="1" x14ac:dyDescent="0.25">
      <c r="A23" s="507" t="s">
        <v>222</v>
      </c>
      <c r="B23" s="411" t="s">
        <v>224</v>
      </c>
      <c r="C23" s="295" t="s">
        <v>132</v>
      </c>
      <c r="D23" s="295" t="s">
        <v>226</v>
      </c>
      <c r="E23" s="643" t="s">
        <v>27</v>
      </c>
      <c r="F23" s="644" t="s">
        <v>226</v>
      </c>
      <c r="G23" s="645" t="s">
        <v>136</v>
      </c>
      <c r="H23" s="645" t="s">
        <v>33</v>
      </c>
      <c r="I23" s="646" t="s">
        <v>79</v>
      </c>
      <c r="J23" s="295" t="s">
        <v>29</v>
      </c>
      <c r="K23" s="295" t="s">
        <v>34</v>
      </c>
      <c r="L23" s="263" t="s">
        <v>35</v>
      </c>
      <c r="M23" s="295" t="s">
        <v>36</v>
      </c>
      <c r="N23" s="905" t="s">
        <v>37</v>
      </c>
      <c r="O23" s="906"/>
      <c r="P23" s="405" t="s">
        <v>38</v>
      </c>
      <c r="Q23" s="295" t="s">
        <v>289</v>
      </c>
      <c r="R23" s="395" t="s">
        <v>291</v>
      </c>
      <c r="S23" s="890"/>
      <c r="T23" s="437" t="s">
        <v>297</v>
      </c>
      <c r="U23" s="429"/>
      <c r="V23" s="834"/>
      <c r="W23" s="835"/>
      <c r="X23" s="566" t="s">
        <v>374</v>
      </c>
      <c r="Y23" s="566" t="s">
        <v>375</v>
      </c>
      <c r="Z23" s="564"/>
      <c r="AA23" s="565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6"/>
    </row>
    <row r="24" spans="1:51" x14ac:dyDescent="0.2">
      <c r="A24" s="547"/>
      <c r="B24" s="619"/>
      <c r="C24" s="626"/>
      <c r="D24" s="622"/>
      <c r="E24" s="612"/>
      <c r="F24" s="752" t="str">
        <f t="shared" ref="F24:F63" si="0">IF(SUM(H24*D24)*C24 = 0,"",SUM(H24*D24)*C24)</f>
        <v/>
      </c>
      <c r="G24" s="631" t="str">
        <f t="shared" ref="G24:G63" si="1">IF(OR($F$18="X",$F$18="x"),IF((E24*FACTOR*yr1percent)&gt;$L$18,$L$18,J24),J24)</f>
        <v/>
      </c>
      <c r="H24" s="755"/>
      <c r="I24" s="613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30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31" t="str">
        <f>IFERROR(IF(IF(H24&gt;0,(R24+(ROUND(K24*L24,0))),0)=0,"",IF(H24&gt;0,(R24+(ROUND(K24*L24,0))),0)),"")</f>
        <v/>
      </c>
      <c r="N24" s="908" t="str">
        <f t="shared" ref="N24:N63" si="4">IFERROR(K24+M24,"")</f>
        <v/>
      </c>
      <c r="O24" s="909"/>
      <c r="P24" s="549"/>
      <c r="Q24" s="553"/>
      <c r="R24" s="552"/>
      <c r="S24" s="438"/>
      <c r="T24" s="399">
        <f>IFERROR(IF((E24*$L$17)&gt;$L$18,(((E24*$L$17)-$L$18)*H24*(1+L24)),0),"")</f>
        <v>0</v>
      </c>
      <c r="U24" s="430"/>
      <c r="V24" s="561"/>
      <c r="W24" s="575" t="s">
        <v>388</v>
      </c>
      <c r="X24" s="567" t="s">
        <v>376</v>
      </c>
      <c r="Y24" s="568" t="s">
        <v>377</v>
      </c>
      <c r="Z24" s="565"/>
      <c r="AA24" s="565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6"/>
    </row>
    <row r="25" spans="1:51" x14ac:dyDescent="0.2">
      <c r="A25" s="547"/>
      <c r="B25" s="619"/>
      <c r="C25" s="627"/>
      <c r="D25" s="623"/>
      <c r="E25" s="614"/>
      <c r="F25" s="753" t="str">
        <f t="shared" si="0"/>
        <v/>
      </c>
      <c r="G25" s="759" t="str">
        <f t="shared" si="1"/>
        <v/>
      </c>
      <c r="H25" s="756"/>
      <c r="I25" s="615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32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86" t="str">
        <f t="shared" si="4"/>
        <v/>
      </c>
      <c r="O25" s="887"/>
      <c r="P25" s="548"/>
      <c r="Q25" s="551"/>
      <c r="R25" s="550"/>
      <c r="S25" s="438"/>
      <c r="T25" s="399">
        <f t="shared" ref="T25:T63" si="15">IFERROR(IF((E25*$L$17)&gt;$L$18,(((E25*$L$17)-$L$18)*H25*(1+L25)),0),"")</f>
        <v>0</v>
      </c>
      <c r="U25" s="430"/>
      <c r="V25" s="824" t="s">
        <v>369</v>
      </c>
      <c r="W25" s="825"/>
      <c r="X25" s="570" t="s">
        <v>378</v>
      </c>
      <c r="Y25" s="573" t="s">
        <v>383</v>
      </c>
      <c r="Z25" s="565"/>
      <c r="AA25" s="565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6"/>
    </row>
    <row r="26" spans="1:51" x14ac:dyDescent="0.2">
      <c r="A26" s="546"/>
      <c r="B26" s="620"/>
      <c r="C26" s="628"/>
      <c r="D26" s="624"/>
      <c r="E26" s="614"/>
      <c r="F26" s="753" t="str">
        <f t="shared" si="0"/>
        <v/>
      </c>
      <c r="G26" s="759" t="str">
        <f t="shared" si="1"/>
        <v/>
      </c>
      <c r="H26" s="756"/>
      <c r="I26" s="615" t="str">
        <f t="shared" si="2"/>
        <v/>
      </c>
      <c r="J26" s="188" t="str">
        <f t="shared" si="12"/>
        <v/>
      </c>
      <c r="K26" s="188" t="str">
        <f t="shared" si="3"/>
        <v/>
      </c>
      <c r="L26" s="632" t="str">
        <f t="shared" si="13"/>
        <v/>
      </c>
      <c r="M26" s="188" t="str">
        <f t="shared" si="14"/>
        <v/>
      </c>
      <c r="N26" s="886" t="str">
        <f t="shared" si="4"/>
        <v/>
      </c>
      <c r="O26" s="887"/>
      <c r="P26" s="548"/>
      <c r="Q26" s="551"/>
      <c r="R26" s="550"/>
      <c r="S26" s="438"/>
      <c r="T26" s="399">
        <f t="shared" si="15"/>
        <v>0</v>
      </c>
      <c r="U26" s="430"/>
      <c r="V26" s="820" t="s">
        <v>370</v>
      </c>
      <c r="W26" s="821"/>
      <c r="X26" s="571" t="s">
        <v>385</v>
      </c>
      <c r="Y26" s="573" t="s">
        <v>383</v>
      </c>
      <c r="Z26" s="565"/>
      <c r="AA26" s="565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">
      <c r="A27" s="546"/>
      <c r="B27" s="620"/>
      <c r="C27" s="628"/>
      <c r="D27" s="624"/>
      <c r="E27" s="614"/>
      <c r="F27" s="753" t="str">
        <f t="shared" si="0"/>
        <v/>
      </c>
      <c r="G27" s="759" t="str">
        <f t="shared" si="1"/>
        <v/>
      </c>
      <c r="H27" s="756"/>
      <c r="I27" s="615" t="str">
        <f t="shared" si="2"/>
        <v/>
      </c>
      <c r="J27" s="188" t="str">
        <f t="shared" si="12"/>
        <v/>
      </c>
      <c r="K27" s="188" t="str">
        <f t="shared" si="3"/>
        <v/>
      </c>
      <c r="L27" s="632" t="str">
        <f t="shared" si="13"/>
        <v/>
      </c>
      <c r="M27" s="188" t="str">
        <f t="shared" si="14"/>
        <v/>
      </c>
      <c r="N27" s="886" t="str">
        <f t="shared" si="4"/>
        <v/>
      </c>
      <c r="O27" s="887"/>
      <c r="P27" s="548"/>
      <c r="Q27" s="551"/>
      <c r="R27" s="550"/>
      <c r="S27" s="438"/>
      <c r="T27" s="399">
        <f t="shared" si="15"/>
        <v>0</v>
      </c>
      <c r="U27" s="430"/>
      <c r="V27" s="820" t="s">
        <v>371</v>
      </c>
      <c r="W27" s="821"/>
      <c r="X27" s="571" t="s">
        <v>391</v>
      </c>
      <c r="Y27" s="573" t="s">
        <v>383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">
      <c r="A28" s="546"/>
      <c r="B28" s="620"/>
      <c r="C28" s="628"/>
      <c r="D28" s="624"/>
      <c r="E28" s="614"/>
      <c r="F28" s="753" t="str">
        <f t="shared" si="0"/>
        <v/>
      </c>
      <c r="G28" s="759" t="str">
        <f t="shared" si="1"/>
        <v/>
      </c>
      <c r="H28" s="756"/>
      <c r="I28" s="615" t="str">
        <f t="shared" si="2"/>
        <v/>
      </c>
      <c r="J28" s="188" t="str">
        <f t="shared" si="12"/>
        <v/>
      </c>
      <c r="K28" s="188" t="str">
        <f t="shared" si="3"/>
        <v/>
      </c>
      <c r="L28" s="632" t="str">
        <f t="shared" si="13"/>
        <v/>
      </c>
      <c r="M28" s="188" t="str">
        <f t="shared" si="14"/>
        <v/>
      </c>
      <c r="N28" s="886" t="str">
        <f t="shared" si="4"/>
        <v/>
      </c>
      <c r="O28" s="887"/>
      <c r="P28" s="548"/>
      <c r="Q28" s="551"/>
      <c r="R28" s="550"/>
      <c r="S28" s="438"/>
      <c r="T28" s="399">
        <f t="shared" si="15"/>
        <v>0</v>
      </c>
      <c r="U28" s="430"/>
      <c r="V28" s="820" t="s">
        <v>372</v>
      </c>
      <c r="W28" s="821"/>
      <c r="X28" s="571" t="s">
        <v>380</v>
      </c>
      <c r="Y28" s="573" t="s">
        <v>392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">
      <c r="A29" s="546"/>
      <c r="B29" s="620"/>
      <c r="C29" s="628"/>
      <c r="D29" s="624"/>
      <c r="E29" s="614"/>
      <c r="F29" s="753" t="str">
        <f t="shared" si="0"/>
        <v/>
      </c>
      <c r="G29" s="759" t="str">
        <f t="shared" si="1"/>
        <v/>
      </c>
      <c r="H29" s="756"/>
      <c r="I29" s="615" t="str">
        <f t="shared" si="2"/>
        <v/>
      </c>
      <c r="J29" s="188" t="str">
        <f t="shared" si="12"/>
        <v/>
      </c>
      <c r="K29" s="188" t="str">
        <f t="shared" si="3"/>
        <v/>
      </c>
      <c r="L29" s="632" t="str">
        <f t="shared" si="13"/>
        <v/>
      </c>
      <c r="M29" s="188" t="str">
        <f t="shared" si="14"/>
        <v/>
      </c>
      <c r="N29" s="886" t="str">
        <f t="shared" si="4"/>
        <v/>
      </c>
      <c r="O29" s="887"/>
      <c r="P29" s="548"/>
      <c r="Q29" s="551"/>
      <c r="R29" s="550"/>
      <c r="S29" s="438"/>
      <c r="T29" s="399">
        <f t="shared" si="15"/>
        <v>0</v>
      </c>
      <c r="U29" s="430"/>
      <c r="V29" s="820" t="s">
        <v>390</v>
      </c>
      <c r="W29" s="821"/>
      <c r="X29" s="571" t="s">
        <v>381</v>
      </c>
      <c r="Y29" s="573" t="s">
        <v>384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.5" thickBot="1" x14ac:dyDescent="0.25">
      <c r="A30" s="546"/>
      <c r="B30" s="620"/>
      <c r="C30" s="628"/>
      <c r="D30" s="624"/>
      <c r="E30" s="614"/>
      <c r="F30" s="753" t="str">
        <f t="shared" si="0"/>
        <v/>
      </c>
      <c r="G30" s="759" t="str">
        <f t="shared" si="1"/>
        <v/>
      </c>
      <c r="H30" s="756"/>
      <c r="I30" s="615" t="str">
        <f t="shared" si="2"/>
        <v/>
      </c>
      <c r="J30" s="188" t="str">
        <f t="shared" si="12"/>
        <v/>
      </c>
      <c r="K30" s="188" t="str">
        <f t="shared" si="3"/>
        <v/>
      </c>
      <c r="L30" s="632" t="str">
        <f t="shared" si="13"/>
        <v/>
      </c>
      <c r="M30" s="188" t="str">
        <f t="shared" si="14"/>
        <v/>
      </c>
      <c r="N30" s="886" t="str">
        <f t="shared" si="4"/>
        <v/>
      </c>
      <c r="O30" s="887"/>
      <c r="P30" s="548"/>
      <c r="Q30" s="551"/>
      <c r="R30" s="550"/>
      <c r="S30" s="438"/>
      <c r="T30" s="399">
        <f t="shared" si="15"/>
        <v>0</v>
      </c>
      <c r="U30" s="430"/>
      <c r="V30" s="822" t="s">
        <v>387</v>
      </c>
      <c r="W30" s="823"/>
      <c r="X30" s="574"/>
      <c r="Y30" s="572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">
      <c r="A31" s="546"/>
      <c r="B31" s="620"/>
      <c r="C31" s="628"/>
      <c r="D31" s="624"/>
      <c r="E31" s="614"/>
      <c r="F31" s="753" t="str">
        <f t="shared" si="0"/>
        <v/>
      </c>
      <c r="G31" s="759" t="str">
        <f t="shared" si="1"/>
        <v/>
      </c>
      <c r="H31" s="756"/>
      <c r="I31" s="615" t="str">
        <f t="shared" si="2"/>
        <v/>
      </c>
      <c r="J31" s="188" t="str">
        <f t="shared" si="12"/>
        <v/>
      </c>
      <c r="K31" s="188" t="str">
        <f t="shared" si="3"/>
        <v/>
      </c>
      <c r="L31" s="632" t="str">
        <f t="shared" si="13"/>
        <v/>
      </c>
      <c r="M31" s="188" t="str">
        <f t="shared" si="14"/>
        <v/>
      </c>
      <c r="N31" s="886" t="str">
        <f t="shared" si="4"/>
        <v/>
      </c>
      <c r="O31" s="887"/>
      <c r="P31" s="548"/>
      <c r="Q31" s="551"/>
      <c r="R31" s="550"/>
      <c r="S31" s="438"/>
      <c r="T31" s="399">
        <f t="shared" si="15"/>
        <v>0</v>
      </c>
      <c r="U31" s="430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">
      <c r="A32" s="546"/>
      <c r="B32" s="620"/>
      <c r="C32" s="628"/>
      <c r="D32" s="624"/>
      <c r="E32" s="614"/>
      <c r="F32" s="753" t="str">
        <f t="shared" si="0"/>
        <v/>
      </c>
      <c r="G32" s="759" t="str">
        <f t="shared" si="1"/>
        <v/>
      </c>
      <c r="H32" s="756"/>
      <c r="I32" s="615" t="str">
        <f t="shared" si="2"/>
        <v/>
      </c>
      <c r="J32" s="188" t="str">
        <f t="shared" si="12"/>
        <v/>
      </c>
      <c r="K32" s="188" t="str">
        <f t="shared" si="3"/>
        <v/>
      </c>
      <c r="L32" s="632" t="str">
        <f t="shared" si="13"/>
        <v/>
      </c>
      <c r="M32" s="188" t="str">
        <f t="shared" si="14"/>
        <v/>
      </c>
      <c r="N32" s="886" t="str">
        <f t="shared" si="4"/>
        <v/>
      </c>
      <c r="O32" s="887"/>
      <c r="P32" s="548"/>
      <c r="Q32" s="551"/>
      <c r="R32" s="550"/>
      <c r="S32" s="438"/>
      <c r="T32" s="399">
        <f t="shared" si="15"/>
        <v>0</v>
      </c>
      <c r="U32" s="430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">
      <c r="A33" s="546"/>
      <c r="B33" s="620"/>
      <c r="C33" s="629"/>
      <c r="D33" s="625"/>
      <c r="E33" s="616"/>
      <c r="F33" s="753" t="str">
        <f t="shared" si="0"/>
        <v/>
      </c>
      <c r="G33" s="759" t="str">
        <f t="shared" si="1"/>
        <v/>
      </c>
      <c r="H33" s="757"/>
      <c r="I33" s="615" t="str">
        <f t="shared" si="2"/>
        <v/>
      </c>
      <c r="J33" s="188" t="str">
        <f t="shared" si="12"/>
        <v/>
      </c>
      <c r="K33" s="188" t="str">
        <f t="shared" si="3"/>
        <v/>
      </c>
      <c r="L33" s="632" t="str">
        <f t="shared" si="13"/>
        <v/>
      </c>
      <c r="M33" s="188" t="str">
        <f t="shared" si="14"/>
        <v/>
      </c>
      <c r="N33" s="886" t="str">
        <f t="shared" si="4"/>
        <v/>
      </c>
      <c r="O33" s="887"/>
      <c r="P33" s="465"/>
      <c r="Q33" s="425"/>
      <c r="R33" s="355"/>
      <c r="S33" s="438"/>
      <c r="T33" s="399">
        <f t="shared" si="15"/>
        <v>0</v>
      </c>
      <c r="U33" s="430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">
      <c r="A34" s="205"/>
      <c r="B34" s="621"/>
      <c r="C34" s="629"/>
      <c r="D34" s="625"/>
      <c r="E34" s="616"/>
      <c r="F34" s="753" t="str">
        <f t="shared" si="0"/>
        <v/>
      </c>
      <c r="G34" s="759" t="str">
        <f t="shared" si="1"/>
        <v/>
      </c>
      <c r="H34" s="757"/>
      <c r="I34" s="615" t="str">
        <f t="shared" si="2"/>
        <v/>
      </c>
      <c r="J34" s="188" t="str">
        <f t="shared" si="12"/>
        <v/>
      </c>
      <c r="K34" s="188" t="str">
        <f t="shared" si="3"/>
        <v/>
      </c>
      <c r="L34" s="632" t="str">
        <f t="shared" si="13"/>
        <v/>
      </c>
      <c r="M34" s="188" t="str">
        <f t="shared" si="14"/>
        <v/>
      </c>
      <c r="N34" s="886" t="str">
        <f t="shared" si="4"/>
        <v/>
      </c>
      <c r="O34" s="887"/>
      <c r="P34" s="465"/>
      <c r="Q34" s="425"/>
      <c r="R34" s="355"/>
      <c r="S34" s="438"/>
      <c r="T34" s="399">
        <f t="shared" si="15"/>
        <v>0</v>
      </c>
      <c r="U34" s="430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">
      <c r="A35" s="205"/>
      <c r="B35" s="621"/>
      <c r="C35" s="629"/>
      <c r="D35" s="625"/>
      <c r="E35" s="616"/>
      <c r="F35" s="753" t="str">
        <f t="shared" si="0"/>
        <v/>
      </c>
      <c r="G35" s="759" t="str">
        <f t="shared" si="1"/>
        <v/>
      </c>
      <c r="H35" s="757"/>
      <c r="I35" s="615" t="str">
        <f t="shared" si="2"/>
        <v/>
      </c>
      <c r="J35" s="188" t="str">
        <f t="shared" si="12"/>
        <v/>
      </c>
      <c r="K35" s="188" t="str">
        <f t="shared" si="3"/>
        <v/>
      </c>
      <c r="L35" s="632" t="str">
        <f t="shared" si="13"/>
        <v/>
      </c>
      <c r="M35" s="188" t="str">
        <f t="shared" si="14"/>
        <v/>
      </c>
      <c r="N35" s="886" t="str">
        <f t="shared" si="4"/>
        <v/>
      </c>
      <c r="O35" s="887"/>
      <c r="P35" s="465"/>
      <c r="Q35" s="425"/>
      <c r="R35" s="355"/>
      <c r="S35" s="438"/>
      <c r="T35" s="399">
        <f t="shared" si="15"/>
        <v>0</v>
      </c>
      <c r="U35" s="430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x14ac:dyDescent="0.2">
      <c r="A36" s="205"/>
      <c r="B36" s="621"/>
      <c r="C36" s="629"/>
      <c r="D36" s="625"/>
      <c r="E36" s="616"/>
      <c r="F36" s="753" t="str">
        <f t="shared" si="0"/>
        <v/>
      </c>
      <c r="G36" s="759" t="str">
        <f t="shared" si="1"/>
        <v/>
      </c>
      <c r="H36" s="757"/>
      <c r="I36" s="615" t="str">
        <f t="shared" si="2"/>
        <v/>
      </c>
      <c r="J36" s="188" t="str">
        <f t="shared" si="12"/>
        <v/>
      </c>
      <c r="K36" s="188" t="str">
        <f t="shared" si="3"/>
        <v/>
      </c>
      <c r="L36" s="632" t="str">
        <f t="shared" si="13"/>
        <v/>
      </c>
      <c r="M36" s="188" t="str">
        <f t="shared" si="14"/>
        <v/>
      </c>
      <c r="N36" s="886" t="str">
        <f t="shared" si="4"/>
        <v/>
      </c>
      <c r="O36" s="887"/>
      <c r="P36" s="465"/>
      <c r="Q36" s="425"/>
      <c r="R36" s="355"/>
      <c r="S36" s="438"/>
      <c r="T36" s="399">
        <f t="shared" si="15"/>
        <v>0</v>
      </c>
      <c r="U36" s="430"/>
      <c r="V36" s="358"/>
      <c r="W36" s="159"/>
      <c r="X36" s="427"/>
      <c r="Y36" s="398"/>
      <c r="Z36" s="398"/>
      <c r="AA36" s="398"/>
      <c r="AB36" s="358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x14ac:dyDescent="0.2">
      <c r="A37" s="205"/>
      <c r="B37" s="621"/>
      <c r="C37" s="629"/>
      <c r="D37" s="625"/>
      <c r="E37" s="616"/>
      <c r="F37" s="753" t="str">
        <f t="shared" si="0"/>
        <v/>
      </c>
      <c r="G37" s="759" t="str">
        <f t="shared" si="1"/>
        <v/>
      </c>
      <c r="H37" s="757"/>
      <c r="I37" s="615" t="str">
        <f t="shared" si="2"/>
        <v/>
      </c>
      <c r="J37" s="188" t="str">
        <f t="shared" si="12"/>
        <v/>
      </c>
      <c r="K37" s="188" t="str">
        <f t="shared" si="3"/>
        <v/>
      </c>
      <c r="L37" s="632" t="str">
        <f t="shared" si="13"/>
        <v/>
      </c>
      <c r="M37" s="188" t="str">
        <f t="shared" si="14"/>
        <v/>
      </c>
      <c r="N37" s="886" t="str">
        <f t="shared" si="4"/>
        <v/>
      </c>
      <c r="O37" s="887"/>
      <c r="P37" s="465"/>
      <c r="Q37" s="425"/>
      <c r="R37" s="355"/>
      <c r="S37" s="438"/>
      <c r="T37" s="399">
        <f t="shared" si="15"/>
        <v>0</v>
      </c>
      <c r="U37" s="430"/>
      <c r="V37" s="358"/>
      <c r="W37" s="586"/>
      <c r="X37" s="586"/>
      <c r="Y37" s="586"/>
      <c r="Z37" s="586"/>
      <c r="AA37" s="586"/>
      <c r="AB37" s="358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">
      <c r="A38" s="205"/>
      <c r="B38" s="621"/>
      <c r="C38" s="629"/>
      <c r="D38" s="625"/>
      <c r="E38" s="616"/>
      <c r="F38" s="753" t="str">
        <f t="shared" si="0"/>
        <v/>
      </c>
      <c r="G38" s="759" t="str">
        <f t="shared" si="1"/>
        <v/>
      </c>
      <c r="H38" s="757"/>
      <c r="I38" s="615" t="str">
        <f t="shared" si="2"/>
        <v/>
      </c>
      <c r="J38" s="188" t="str">
        <f t="shared" si="12"/>
        <v/>
      </c>
      <c r="K38" s="188" t="str">
        <f t="shared" si="3"/>
        <v/>
      </c>
      <c r="L38" s="632" t="str">
        <f t="shared" si="13"/>
        <v/>
      </c>
      <c r="M38" s="188" t="str">
        <f t="shared" si="14"/>
        <v/>
      </c>
      <c r="N38" s="886" t="str">
        <f t="shared" si="4"/>
        <v/>
      </c>
      <c r="O38" s="887"/>
      <c r="P38" s="465"/>
      <c r="Q38" s="425"/>
      <c r="R38" s="355"/>
      <c r="S38" s="438"/>
      <c r="T38" s="399">
        <f t="shared" si="15"/>
        <v>0</v>
      </c>
      <c r="U38" s="430"/>
      <c r="V38" s="358"/>
      <c r="W38" s="587"/>
      <c r="X38" s="587"/>
      <c r="Y38" s="587"/>
      <c r="Z38" s="587"/>
      <c r="AA38" s="587"/>
      <c r="AB38" s="579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">
      <c r="A39" s="205"/>
      <c r="B39" s="621"/>
      <c r="C39" s="629"/>
      <c r="D39" s="625"/>
      <c r="E39" s="616"/>
      <c r="F39" s="753" t="str">
        <f t="shared" si="0"/>
        <v/>
      </c>
      <c r="G39" s="759" t="str">
        <f t="shared" si="1"/>
        <v/>
      </c>
      <c r="H39" s="757"/>
      <c r="I39" s="615" t="str">
        <f t="shared" si="2"/>
        <v/>
      </c>
      <c r="J39" s="188" t="str">
        <f t="shared" si="12"/>
        <v/>
      </c>
      <c r="K39" s="188" t="str">
        <f t="shared" si="3"/>
        <v/>
      </c>
      <c r="L39" s="632" t="str">
        <f t="shared" si="13"/>
        <v/>
      </c>
      <c r="M39" s="188" t="str">
        <f t="shared" si="14"/>
        <v/>
      </c>
      <c r="N39" s="886" t="str">
        <f t="shared" si="4"/>
        <v/>
      </c>
      <c r="O39" s="887"/>
      <c r="P39" s="465"/>
      <c r="Q39" s="425"/>
      <c r="R39" s="355"/>
      <c r="S39" s="438"/>
      <c r="T39" s="399">
        <f t="shared" si="15"/>
        <v>0</v>
      </c>
      <c r="U39" s="430"/>
      <c r="V39" s="583"/>
      <c r="W39" s="585"/>
      <c r="X39" s="585"/>
      <c r="Y39" s="585"/>
      <c r="Z39" s="585"/>
      <c r="AA39" s="585"/>
      <c r="AB39" s="576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">
      <c r="A40" s="205"/>
      <c r="B40" s="621"/>
      <c r="C40" s="629"/>
      <c r="D40" s="625"/>
      <c r="E40" s="616"/>
      <c r="F40" s="753" t="str">
        <f t="shared" si="0"/>
        <v/>
      </c>
      <c r="G40" s="759" t="str">
        <f t="shared" si="1"/>
        <v/>
      </c>
      <c r="H40" s="757"/>
      <c r="I40" s="615" t="str">
        <f t="shared" si="2"/>
        <v/>
      </c>
      <c r="J40" s="188" t="str">
        <f t="shared" si="12"/>
        <v/>
      </c>
      <c r="K40" s="188" t="str">
        <f t="shared" si="3"/>
        <v/>
      </c>
      <c r="L40" s="632" t="str">
        <f t="shared" si="13"/>
        <v/>
      </c>
      <c r="M40" s="188" t="str">
        <f t="shared" si="14"/>
        <v/>
      </c>
      <c r="N40" s="886" t="str">
        <f t="shared" si="4"/>
        <v/>
      </c>
      <c r="O40" s="887"/>
      <c r="P40" s="465"/>
      <c r="Q40" s="425"/>
      <c r="R40" s="355"/>
      <c r="S40" s="438"/>
      <c r="T40" s="399">
        <f t="shared" si="15"/>
        <v>0</v>
      </c>
      <c r="U40" s="430"/>
      <c r="V40" s="583"/>
      <c r="W40" s="585"/>
      <c r="X40" s="585"/>
      <c r="Y40" s="585"/>
      <c r="Z40" s="585"/>
      <c r="AA40" s="585"/>
      <c r="AB40" s="576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">
      <c r="A41" s="205"/>
      <c r="B41" s="621"/>
      <c r="C41" s="629"/>
      <c r="D41" s="625"/>
      <c r="E41" s="616"/>
      <c r="F41" s="753" t="str">
        <f t="shared" si="0"/>
        <v/>
      </c>
      <c r="G41" s="759" t="str">
        <f t="shared" si="1"/>
        <v/>
      </c>
      <c r="H41" s="757"/>
      <c r="I41" s="615" t="str">
        <f t="shared" si="2"/>
        <v/>
      </c>
      <c r="J41" s="188" t="str">
        <f t="shared" si="12"/>
        <v/>
      </c>
      <c r="K41" s="188" t="str">
        <f t="shared" si="3"/>
        <v/>
      </c>
      <c r="L41" s="632" t="str">
        <f t="shared" si="13"/>
        <v/>
      </c>
      <c r="M41" s="188" t="str">
        <f t="shared" si="14"/>
        <v/>
      </c>
      <c r="N41" s="886" t="str">
        <f t="shared" si="4"/>
        <v/>
      </c>
      <c r="O41" s="887"/>
      <c r="P41" s="465"/>
      <c r="Q41" s="425"/>
      <c r="R41" s="355"/>
      <c r="S41" s="438"/>
      <c r="T41" s="399">
        <f t="shared" si="15"/>
        <v>0</v>
      </c>
      <c r="U41" s="430"/>
      <c r="V41" s="583"/>
      <c r="W41" s="585"/>
      <c r="X41" s="585"/>
      <c r="Y41" s="585"/>
      <c r="Z41" s="585"/>
      <c r="AA41" s="585"/>
      <c r="AB41" s="576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">
      <c r="A42" s="205"/>
      <c r="B42" s="621"/>
      <c r="C42" s="629"/>
      <c r="D42" s="625"/>
      <c r="E42" s="616"/>
      <c r="F42" s="753" t="str">
        <f t="shared" si="0"/>
        <v/>
      </c>
      <c r="G42" s="759" t="str">
        <f t="shared" si="1"/>
        <v/>
      </c>
      <c r="H42" s="757"/>
      <c r="I42" s="615" t="str">
        <f t="shared" si="2"/>
        <v/>
      </c>
      <c r="J42" s="188" t="str">
        <f t="shared" si="12"/>
        <v/>
      </c>
      <c r="K42" s="188" t="str">
        <f t="shared" si="3"/>
        <v/>
      </c>
      <c r="L42" s="632" t="str">
        <f t="shared" si="13"/>
        <v/>
      </c>
      <c r="M42" s="188" t="str">
        <f t="shared" si="14"/>
        <v/>
      </c>
      <c r="N42" s="886" t="str">
        <f t="shared" si="4"/>
        <v/>
      </c>
      <c r="O42" s="887"/>
      <c r="P42" s="465"/>
      <c r="Q42" s="425"/>
      <c r="R42" s="355"/>
      <c r="S42" s="438"/>
      <c r="T42" s="399">
        <f t="shared" si="15"/>
        <v>0</v>
      </c>
      <c r="U42" s="430"/>
      <c r="V42" s="583"/>
      <c r="W42" s="585"/>
      <c r="X42" s="585"/>
      <c r="Y42" s="585"/>
      <c r="Z42" s="585"/>
      <c r="AA42" s="585"/>
      <c r="AB42" s="576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">
      <c r="A43" s="205"/>
      <c r="B43" s="621"/>
      <c r="C43" s="629"/>
      <c r="D43" s="625"/>
      <c r="E43" s="616"/>
      <c r="F43" s="753" t="str">
        <f t="shared" si="0"/>
        <v/>
      </c>
      <c r="G43" s="759" t="str">
        <f t="shared" si="1"/>
        <v/>
      </c>
      <c r="H43" s="757"/>
      <c r="I43" s="615" t="str">
        <f t="shared" si="2"/>
        <v/>
      </c>
      <c r="J43" s="188" t="str">
        <f t="shared" si="12"/>
        <v/>
      </c>
      <c r="K43" s="188" t="str">
        <f t="shared" si="3"/>
        <v/>
      </c>
      <c r="L43" s="632" t="str">
        <f t="shared" si="13"/>
        <v/>
      </c>
      <c r="M43" s="188" t="str">
        <f t="shared" si="14"/>
        <v/>
      </c>
      <c r="N43" s="886" t="str">
        <f t="shared" si="4"/>
        <v/>
      </c>
      <c r="O43" s="887"/>
      <c r="P43" s="465"/>
      <c r="Q43" s="425"/>
      <c r="R43" s="355"/>
      <c r="S43" s="438"/>
      <c r="T43" s="399">
        <f t="shared" si="15"/>
        <v>0</v>
      </c>
      <c r="U43" s="430"/>
      <c r="V43" s="583"/>
      <c r="W43" s="585"/>
      <c r="X43" s="585"/>
      <c r="Y43" s="585"/>
      <c r="Z43" s="585"/>
      <c r="AA43" s="585"/>
      <c r="AB43" s="576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">
      <c r="A44" s="205"/>
      <c r="B44" s="621"/>
      <c r="C44" s="629"/>
      <c r="D44" s="625"/>
      <c r="E44" s="616"/>
      <c r="F44" s="753" t="str">
        <f t="shared" si="0"/>
        <v/>
      </c>
      <c r="G44" s="759" t="str">
        <f t="shared" si="1"/>
        <v/>
      </c>
      <c r="H44" s="757"/>
      <c r="I44" s="615" t="str">
        <f t="shared" si="2"/>
        <v/>
      </c>
      <c r="J44" s="188" t="str">
        <f t="shared" si="12"/>
        <v/>
      </c>
      <c r="K44" s="188" t="str">
        <f t="shared" si="3"/>
        <v/>
      </c>
      <c r="L44" s="632" t="str">
        <f t="shared" si="13"/>
        <v/>
      </c>
      <c r="M44" s="188" t="str">
        <f t="shared" si="14"/>
        <v/>
      </c>
      <c r="N44" s="886" t="str">
        <f t="shared" si="4"/>
        <v/>
      </c>
      <c r="O44" s="887"/>
      <c r="P44" s="465"/>
      <c r="Q44" s="425"/>
      <c r="R44" s="355"/>
      <c r="S44" s="438"/>
      <c r="T44" s="399">
        <f t="shared" si="15"/>
        <v>0</v>
      </c>
      <c r="U44" s="430"/>
      <c r="V44" s="583"/>
      <c r="W44" s="584"/>
      <c r="X44" s="398"/>
      <c r="Y44" s="398"/>
      <c r="Z44" s="398"/>
      <c r="AA44" s="398"/>
      <c r="AB44" s="358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">
      <c r="A45" s="205"/>
      <c r="B45" s="621"/>
      <c r="C45" s="629"/>
      <c r="D45" s="625"/>
      <c r="E45" s="616"/>
      <c r="F45" s="753" t="str">
        <f t="shared" si="0"/>
        <v/>
      </c>
      <c r="G45" s="759" t="str">
        <f t="shared" si="1"/>
        <v/>
      </c>
      <c r="H45" s="757"/>
      <c r="I45" s="615" t="str">
        <f t="shared" si="2"/>
        <v/>
      </c>
      <c r="J45" s="188" t="str">
        <f t="shared" si="12"/>
        <v/>
      </c>
      <c r="K45" s="188" t="str">
        <f t="shared" si="3"/>
        <v/>
      </c>
      <c r="L45" s="632" t="str">
        <f t="shared" si="13"/>
        <v/>
      </c>
      <c r="M45" s="188" t="str">
        <f t="shared" si="14"/>
        <v/>
      </c>
      <c r="N45" s="886" t="str">
        <f t="shared" si="4"/>
        <v/>
      </c>
      <c r="O45" s="887"/>
      <c r="P45" s="465"/>
      <c r="Q45" s="425"/>
      <c r="R45" s="355"/>
      <c r="S45" s="438"/>
      <c r="T45" s="399">
        <f t="shared" si="15"/>
        <v>0</v>
      </c>
      <c r="U45" s="430"/>
      <c r="V45" s="583"/>
      <c r="W45" s="584"/>
      <c r="X45" s="398"/>
      <c r="Y45" s="398"/>
      <c r="Z45" s="398"/>
      <c r="AA45" s="398"/>
      <c r="AB45" s="358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">
      <c r="A46" s="205"/>
      <c r="B46" s="621"/>
      <c r="C46" s="629"/>
      <c r="D46" s="625"/>
      <c r="E46" s="616"/>
      <c r="F46" s="753" t="str">
        <f t="shared" si="0"/>
        <v/>
      </c>
      <c r="G46" s="759" t="str">
        <f t="shared" si="1"/>
        <v/>
      </c>
      <c r="H46" s="757"/>
      <c r="I46" s="615" t="str">
        <f t="shared" si="2"/>
        <v/>
      </c>
      <c r="J46" s="188" t="str">
        <f t="shared" si="12"/>
        <v/>
      </c>
      <c r="K46" s="188" t="str">
        <f t="shared" si="3"/>
        <v/>
      </c>
      <c r="L46" s="632" t="str">
        <f t="shared" si="13"/>
        <v/>
      </c>
      <c r="M46" s="188" t="str">
        <f t="shared" si="14"/>
        <v/>
      </c>
      <c r="N46" s="886" t="str">
        <f t="shared" si="4"/>
        <v/>
      </c>
      <c r="O46" s="887"/>
      <c r="P46" s="465"/>
      <c r="Q46" s="425"/>
      <c r="R46" s="355"/>
      <c r="S46" s="438"/>
      <c r="T46" s="399">
        <f t="shared" si="15"/>
        <v>0</v>
      </c>
      <c r="U46" s="430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">
      <c r="A47" s="205"/>
      <c r="B47" s="621"/>
      <c r="C47" s="629"/>
      <c r="D47" s="625"/>
      <c r="E47" s="616"/>
      <c r="F47" s="753" t="str">
        <f t="shared" si="0"/>
        <v/>
      </c>
      <c r="G47" s="759" t="str">
        <f t="shared" si="1"/>
        <v/>
      </c>
      <c r="H47" s="757"/>
      <c r="I47" s="615" t="str">
        <f t="shared" si="2"/>
        <v/>
      </c>
      <c r="J47" s="188" t="str">
        <f t="shared" si="12"/>
        <v/>
      </c>
      <c r="K47" s="188" t="str">
        <f t="shared" si="3"/>
        <v/>
      </c>
      <c r="L47" s="632" t="str">
        <f t="shared" si="13"/>
        <v/>
      </c>
      <c r="M47" s="188" t="str">
        <f t="shared" si="14"/>
        <v/>
      </c>
      <c r="N47" s="886" t="str">
        <f t="shared" si="4"/>
        <v/>
      </c>
      <c r="O47" s="887"/>
      <c r="P47" s="465"/>
      <c r="Q47" s="425"/>
      <c r="R47" s="355"/>
      <c r="S47" s="438"/>
      <c r="T47" s="399">
        <f t="shared" si="15"/>
        <v>0</v>
      </c>
      <c r="U47" s="430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">
      <c r="A48" s="205"/>
      <c r="B48" s="621"/>
      <c r="C48" s="629"/>
      <c r="D48" s="625"/>
      <c r="E48" s="616"/>
      <c r="F48" s="753" t="str">
        <f t="shared" si="0"/>
        <v/>
      </c>
      <c r="G48" s="759" t="str">
        <f t="shared" si="1"/>
        <v/>
      </c>
      <c r="H48" s="757"/>
      <c r="I48" s="615" t="str">
        <f t="shared" si="2"/>
        <v/>
      </c>
      <c r="J48" s="188" t="str">
        <f t="shared" si="12"/>
        <v/>
      </c>
      <c r="K48" s="188" t="str">
        <f t="shared" si="3"/>
        <v/>
      </c>
      <c r="L48" s="632" t="str">
        <f t="shared" si="13"/>
        <v/>
      </c>
      <c r="M48" s="188" t="str">
        <f t="shared" si="14"/>
        <v/>
      </c>
      <c r="N48" s="886" t="str">
        <f t="shared" si="4"/>
        <v/>
      </c>
      <c r="O48" s="887"/>
      <c r="P48" s="465"/>
      <c r="Q48" s="425"/>
      <c r="R48" s="355"/>
      <c r="S48" s="438"/>
      <c r="T48" s="399">
        <f t="shared" si="15"/>
        <v>0</v>
      </c>
      <c r="U48" s="430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">
      <c r="A49" s="205"/>
      <c r="B49" s="621"/>
      <c r="C49" s="629"/>
      <c r="D49" s="625"/>
      <c r="E49" s="616"/>
      <c r="F49" s="753" t="str">
        <f t="shared" si="0"/>
        <v/>
      </c>
      <c r="G49" s="759" t="str">
        <f t="shared" si="1"/>
        <v/>
      </c>
      <c r="H49" s="757"/>
      <c r="I49" s="615" t="str">
        <f t="shared" si="2"/>
        <v/>
      </c>
      <c r="J49" s="188" t="str">
        <f t="shared" si="12"/>
        <v/>
      </c>
      <c r="K49" s="188" t="str">
        <f t="shared" si="3"/>
        <v/>
      </c>
      <c r="L49" s="632" t="str">
        <f t="shared" si="13"/>
        <v/>
      </c>
      <c r="M49" s="188" t="str">
        <f t="shared" si="14"/>
        <v/>
      </c>
      <c r="N49" s="886" t="str">
        <f t="shared" si="4"/>
        <v/>
      </c>
      <c r="O49" s="887"/>
      <c r="P49" s="465"/>
      <c r="Q49" s="425"/>
      <c r="R49" s="355"/>
      <c r="S49" s="438"/>
      <c r="T49" s="399">
        <f t="shared" si="15"/>
        <v>0</v>
      </c>
      <c r="U49" s="430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">
      <c r="A50" s="546"/>
      <c r="B50" s="620"/>
      <c r="C50" s="629"/>
      <c r="D50" s="625"/>
      <c r="E50" s="616"/>
      <c r="F50" s="753" t="str">
        <f t="shared" si="0"/>
        <v/>
      </c>
      <c r="G50" s="759" t="str">
        <f t="shared" si="1"/>
        <v/>
      </c>
      <c r="H50" s="757"/>
      <c r="I50" s="615" t="str">
        <f t="shared" si="2"/>
        <v/>
      </c>
      <c r="J50" s="188" t="str">
        <f t="shared" si="12"/>
        <v/>
      </c>
      <c r="K50" s="188" t="str">
        <f t="shared" si="3"/>
        <v/>
      </c>
      <c r="L50" s="632" t="str">
        <f t="shared" si="13"/>
        <v/>
      </c>
      <c r="M50" s="188" t="str">
        <f t="shared" si="14"/>
        <v/>
      </c>
      <c r="N50" s="886" t="str">
        <f t="shared" si="4"/>
        <v/>
      </c>
      <c r="O50" s="887"/>
      <c r="P50" s="465"/>
      <c r="Q50" s="425"/>
      <c r="R50" s="355"/>
      <c r="S50" s="438"/>
      <c r="T50" s="399">
        <f t="shared" si="15"/>
        <v>0</v>
      </c>
      <c r="U50" s="430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">
      <c r="A51" s="546"/>
      <c r="B51" s="620"/>
      <c r="C51" s="629"/>
      <c r="D51" s="625"/>
      <c r="E51" s="616"/>
      <c r="F51" s="753" t="str">
        <f t="shared" si="0"/>
        <v/>
      </c>
      <c r="G51" s="759" t="str">
        <f t="shared" si="1"/>
        <v/>
      </c>
      <c r="H51" s="757"/>
      <c r="I51" s="615" t="str">
        <f t="shared" si="2"/>
        <v/>
      </c>
      <c r="J51" s="188" t="str">
        <f t="shared" si="12"/>
        <v/>
      </c>
      <c r="K51" s="188" t="str">
        <f t="shared" si="3"/>
        <v/>
      </c>
      <c r="L51" s="632" t="str">
        <f t="shared" si="13"/>
        <v/>
      </c>
      <c r="M51" s="188" t="str">
        <f t="shared" si="14"/>
        <v/>
      </c>
      <c r="N51" s="886" t="str">
        <f t="shared" si="4"/>
        <v/>
      </c>
      <c r="O51" s="887"/>
      <c r="P51" s="465"/>
      <c r="Q51" s="425"/>
      <c r="R51" s="355"/>
      <c r="S51" s="438"/>
      <c r="T51" s="399">
        <f t="shared" si="15"/>
        <v>0</v>
      </c>
      <c r="U51" s="430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">
      <c r="A52" s="546"/>
      <c r="B52" s="620"/>
      <c r="C52" s="629"/>
      <c r="D52" s="625"/>
      <c r="E52" s="616"/>
      <c r="F52" s="753" t="str">
        <f t="shared" si="0"/>
        <v/>
      </c>
      <c r="G52" s="759" t="str">
        <f t="shared" si="1"/>
        <v/>
      </c>
      <c r="H52" s="757"/>
      <c r="I52" s="615" t="str">
        <f t="shared" si="2"/>
        <v/>
      </c>
      <c r="J52" s="188" t="str">
        <f t="shared" si="12"/>
        <v/>
      </c>
      <c r="K52" s="188" t="str">
        <f t="shared" si="3"/>
        <v/>
      </c>
      <c r="L52" s="632" t="str">
        <f t="shared" si="13"/>
        <v/>
      </c>
      <c r="M52" s="188" t="str">
        <f t="shared" si="14"/>
        <v/>
      </c>
      <c r="N52" s="886" t="str">
        <f t="shared" si="4"/>
        <v/>
      </c>
      <c r="O52" s="887"/>
      <c r="P52" s="465"/>
      <c r="Q52" s="425"/>
      <c r="R52" s="355"/>
      <c r="S52" s="438"/>
      <c r="T52" s="399">
        <f t="shared" si="15"/>
        <v>0</v>
      </c>
      <c r="U52" s="430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">
      <c r="A53" s="546"/>
      <c r="B53" s="620"/>
      <c r="C53" s="629"/>
      <c r="D53" s="625"/>
      <c r="E53" s="616"/>
      <c r="F53" s="753" t="str">
        <f t="shared" si="0"/>
        <v/>
      </c>
      <c r="G53" s="759" t="str">
        <f t="shared" si="1"/>
        <v/>
      </c>
      <c r="H53" s="757"/>
      <c r="I53" s="615" t="str">
        <f t="shared" si="2"/>
        <v/>
      </c>
      <c r="J53" s="188" t="str">
        <f t="shared" si="12"/>
        <v/>
      </c>
      <c r="K53" s="188" t="str">
        <f t="shared" si="3"/>
        <v/>
      </c>
      <c r="L53" s="632" t="str">
        <f t="shared" si="13"/>
        <v/>
      </c>
      <c r="M53" s="188" t="str">
        <f t="shared" si="14"/>
        <v/>
      </c>
      <c r="N53" s="886" t="str">
        <f t="shared" si="4"/>
        <v/>
      </c>
      <c r="O53" s="887"/>
      <c r="P53" s="465"/>
      <c r="Q53" s="425"/>
      <c r="R53" s="355"/>
      <c r="S53" s="438"/>
      <c r="T53" s="399">
        <f t="shared" si="15"/>
        <v>0</v>
      </c>
      <c r="U53" s="430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">
      <c r="A54" s="546"/>
      <c r="B54" s="620"/>
      <c r="C54" s="629"/>
      <c r="D54" s="625"/>
      <c r="E54" s="616"/>
      <c r="F54" s="753" t="str">
        <f t="shared" si="0"/>
        <v/>
      </c>
      <c r="G54" s="759" t="str">
        <f t="shared" si="1"/>
        <v/>
      </c>
      <c r="H54" s="757"/>
      <c r="I54" s="615" t="str">
        <f t="shared" si="2"/>
        <v/>
      </c>
      <c r="J54" s="188" t="str">
        <f t="shared" si="12"/>
        <v/>
      </c>
      <c r="K54" s="188" t="str">
        <f t="shared" si="3"/>
        <v/>
      </c>
      <c r="L54" s="632" t="str">
        <f t="shared" si="13"/>
        <v/>
      </c>
      <c r="M54" s="188" t="str">
        <f t="shared" si="14"/>
        <v/>
      </c>
      <c r="N54" s="886" t="str">
        <f t="shared" si="4"/>
        <v/>
      </c>
      <c r="O54" s="887"/>
      <c r="P54" s="465"/>
      <c r="Q54" s="425"/>
      <c r="R54" s="355"/>
      <c r="S54" s="438"/>
      <c r="T54" s="399">
        <f t="shared" si="15"/>
        <v>0</v>
      </c>
      <c r="U54" s="430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">
      <c r="A55" s="205"/>
      <c r="B55" s="621"/>
      <c r="C55" s="629"/>
      <c r="D55" s="625"/>
      <c r="E55" s="616"/>
      <c r="F55" s="753" t="str">
        <f t="shared" si="0"/>
        <v/>
      </c>
      <c r="G55" s="759" t="str">
        <f t="shared" si="1"/>
        <v/>
      </c>
      <c r="H55" s="757"/>
      <c r="I55" s="615" t="str">
        <f t="shared" si="2"/>
        <v/>
      </c>
      <c r="J55" s="188" t="str">
        <f t="shared" si="12"/>
        <v/>
      </c>
      <c r="K55" s="188" t="str">
        <f t="shared" si="3"/>
        <v/>
      </c>
      <c r="L55" s="632" t="str">
        <f t="shared" si="13"/>
        <v/>
      </c>
      <c r="M55" s="188" t="str">
        <f t="shared" si="14"/>
        <v/>
      </c>
      <c r="N55" s="886" t="str">
        <f t="shared" si="4"/>
        <v/>
      </c>
      <c r="O55" s="887"/>
      <c r="P55" s="465"/>
      <c r="Q55" s="425"/>
      <c r="R55" s="355"/>
      <c r="S55" s="438"/>
      <c r="T55" s="399">
        <f t="shared" si="15"/>
        <v>0</v>
      </c>
      <c r="U55" s="430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">
      <c r="A56" s="205"/>
      <c r="B56" s="621"/>
      <c r="C56" s="629"/>
      <c r="D56" s="625"/>
      <c r="E56" s="616"/>
      <c r="F56" s="753" t="str">
        <f t="shared" si="0"/>
        <v/>
      </c>
      <c r="G56" s="759" t="str">
        <f t="shared" si="1"/>
        <v/>
      </c>
      <c r="H56" s="757"/>
      <c r="I56" s="615" t="str">
        <f t="shared" si="2"/>
        <v/>
      </c>
      <c r="J56" s="188" t="str">
        <f t="shared" si="12"/>
        <v/>
      </c>
      <c r="K56" s="188" t="str">
        <f t="shared" si="3"/>
        <v/>
      </c>
      <c r="L56" s="632" t="str">
        <f t="shared" si="13"/>
        <v/>
      </c>
      <c r="M56" s="188" t="str">
        <f t="shared" si="14"/>
        <v/>
      </c>
      <c r="N56" s="886" t="str">
        <f t="shared" si="4"/>
        <v/>
      </c>
      <c r="O56" s="887"/>
      <c r="P56" s="465"/>
      <c r="Q56" s="425"/>
      <c r="R56" s="355"/>
      <c r="S56" s="438"/>
      <c r="T56" s="399">
        <f t="shared" si="15"/>
        <v>0</v>
      </c>
      <c r="U56" s="430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">
      <c r="A57" s="205"/>
      <c r="B57" s="621"/>
      <c r="C57" s="629"/>
      <c r="D57" s="625"/>
      <c r="E57" s="616"/>
      <c r="F57" s="753" t="str">
        <f t="shared" si="0"/>
        <v/>
      </c>
      <c r="G57" s="759" t="str">
        <f t="shared" si="1"/>
        <v/>
      </c>
      <c r="H57" s="757"/>
      <c r="I57" s="615" t="str">
        <f t="shared" si="2"/>
        <v/>
      </c>
      <c r="J57" s="188" t="str">
        <f t="shared" si="12"/>
        <v/>
      </c>
      <c r="K57" s="188" t="str">
        <f t="shared" si="3"/>
        <v/>
      </c>
      <c r="L57" s="632" t="str">
        <f t="shared" si="13"/>
        <v/>
      </c>
      <c r="M57" s="188" t="str">
        <f t="shared" si="14"/>
        <v/>
      </c>
      <c r="N57" s="886" t="str">
        <f t="shared" si="4"/>
        <v/>
      </c>
      <c r="O57" s="887"/>
      <c r="P57" s="465"/>
      <c r="Q57" s="425"/>
      <c r="R57" s="355"/>
      <c r="S57" s="438"/>
      <c r="T57" s="399">
        <f t="shared" si="15"/>
        <v>0</v>
      </c>
      <c r="U57" s="430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">
      <c r="A58" s="546"/>
      <c r="B58" s="620"/>
      <c r="C58" s="629"/>
      <c r="D58" s="625"/>
      <c r="E58" s="616"/>
      <c r="F58" s="753" t="str">
        <f t="shared" si="0"/>
        <v/>
      </c>
      <c r="G58" s="759" t="str">
        <f t="shared" si="1"/>
        <v/>
      </c>
      <c r="H58" s="757"/>
      <c r="I58" s="615" t="str">
        <f t="shared" si="2"/>
        <v/>
      </c>
      <c r="J58" s="188" t="str">
        <f t="shared" si="12"/>
        <v/>
      </c>
      <c r="K58" s="188" t="str">
        <f t="shared" si="3"/>
        <v/>
      </c>
      <c r="L58" s="632" t="str">
        <f t="shared" si="13"/>
        <v/>
      </c>
      <c r="M58" s="188" t="str">
        <f t="shared" si="14"/>
        <v/>
      </c>
      <c r="N58" s="886" t="str">
        <f t="shared" si="4"/>
        <v/>
      </c>
      <c r="O58" s="887"/>
      <c r="P58" s="465"/>
      <c r="Q58" s="425"/>
      <c r="R58" s="355"/>
      <c r="S58" s="438"/>
      <c r="T58" s="399">
        <f t="shared" si="15"/>
        <v>0</v>
      </c>
      <c r="U58" s="430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">
      <c r="A59" s="546"/>
      <c r="B59" s="620"/>
      <c r="C59" s="629"/>
      <c r="D59" s="625"/>
      <c r="E59" s="616"/>
      <c r="F59" s="753" t="str">
        <f t="shared" si="0"/>
        <v/>
      </c>
      <c r="G59" s="759" t="str">
        <f t="shared" si="1"/>
        <v/>
      </c>
      <c r="H59" s="757"/>
      <c r="I59" s="615" t="str">
        <f t="shared" si="2"/>
        <v/>
      </c>
      <c r="J59" s="188" t="str">
        <f t="shared" si="12"/>
        <v/>
      </c>
      <c r="K59" s="188" t="str">
        <f t="shared" si="3"/>
        <v/>
      </c>
      <c r="L59" s="632" t="str">
        <f t="shared" si="13"/>
        <v/>
      </c>
      <c r="M59" s="188" t="str">
        <f t="shared" si="14"/>
        <v/>
      </c>
      <c r="N59" s="886" t="str">
        <f t="shared" si="4"/>
        <v/>
      </c>
      <c r="O59" s="887"/>
      <c r="P59" s="465"/>
      <c r="Q59" s="425"/>
      <c r="R59" s="355"/>
      <c r="S59" s="438"/>
      <c r="T59" s="399">
        <f t="shared" si="15"/>
        <v>0</v>
      </c>
      <c r="U59" s="430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">
      <c r="A60" s="546"/>
      <c r="B60" s="620"/>
      <c r="C60" s="629"/>
      <c r="D60" s="625"/>
      <c r="E60" s="616"/>
      <c r="F60" s="753" t="str">
        <f t="shared" si="0"/>
        <v/>
      </c>
      <c r="G60" s="759" t="str">
        <f t="shared" si="1"/>
        <v/>
      </c>
      <c r="H60" s="757"/>
      <c r="I60" s="615" t="str">
        <f t="shared" si="2"/>
        <v/>
      </c>
      <c r="J60" s="188" t="str">
        <f t="shared" si="12"/>
        <v/>
      </c>
      <c r="K60" s="188" t="str">
        <f t="shared" si="3"/>
        <v/>
      </c>
      <c r="L60" s="632" t="str">
        <f t="shared" si="13"/>
        <v/>
      </c>
      <c r="M60" s="188" t="str">
        <f t="shared" si="14"/>
        <v/>
      </c>
      <c r="N60" s="886" t="str">
        <f t="shared" si="4"/>
        <v/>
      </c>
      <c r="O60" s="887"/>
      <c r="P60" s="465"/>
      <c r="Q60" s="425"/>
      <c r="R60" s="355"/>
      <c r="S60" s="438"/>
      <c r="T60" s="399">
        <f t="shared" si="15"/>
        <v>0</v>
      </c>
      <c r="U60" s="430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">
      <c r="A61" s="546"/>
      <c r="B61" s="620"/>
      <c r="C61" s="629"/>
      <c r="D61" s="625"/>
      <c r="E61" s="616"/>
      <c r="F61" s="753" t="str">
        <f t="shared" si="0"/>
        <v/>
      </c>
      <c r="G61" s="759" t="str">
        <f t="shared" si="1"/>
        <v/>
      </c>
      <c r="H61" s="757"/>
      <c r="I61" s="615" t="str">
        <f t="shared" si="2"/>
        <v/>
      </c>
      <c r="J61" s="188" t="str">
        <f t="shared" si="12"/>
        <v/>
      </c>
      <c r="K61" s="188" t="str">
        <f t="shared" si="3"/>
        <v/>
      </c>
      <c r="L61" s="632" t="str">
        <f t="shared" si="13"/>
        <v/>
      </c>
      <c r="M61" s="188" t="str">
        <f t="shared" si="14"/>
        <v/>
      </c>
      <c r="N61" s="886" t="str">
        <f t="shared" si="4"/>
        <v/>
      </c>
      <c r="O61" s="887"/>
      <c r="P61" s="465"/>
      <c r="Q61" s="425"/>
      <c r="R61" s="355"/>
      <c r="S61" s="438"/>
      <c r="T61" s="399">
        <f>IFERROR(IF((E61*$L$17)&gt;$L$18,(((E61*$L$17)-$L$18)*H61*(1+L61)),0),"")</f>
        <v>0</v>
      </c>
      <c r="U61" s="430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">
      <c r="A62" s="546"/>
      <c r="B62" s="620"/>
      <c r="C62" s="629"/>
      <c r="D62" s="625"/>
      <c r="E62" s="616"/>
      <c r="F62" s="753" t="str">
        <f t="shared" si="0"/>
        <v/>
      </c>
      <c r="G62" s="759" t="str">
        <f t="shared" si="1"/>
        <v/>
      </c>
      <c r="H62" s="757"/>
      <c r="I62" s="615" t="str">
        <f t="shared" si="2"/>
        <v/>
      </c>
      <c r="J62" s="188" t="str">
        <f t="shared" si="12"/>
        <v/>
      </c>
      <c r="K62" s="188" t="str">
        <f t="shared" si="3"/>
        <v/>
      </c>
      <c r="L62" s="632" t="str">
        <f t="shared" si="13"/>
        <v/>
      </c>
      <c r="M62" s="188" t="str">
        <f t="shared" si="14"/>
        <v/>
      </c>
      <c r="N62" s="886" t="str">
        <f t="shared" si="4"/>
        <v/>
      </c>
      <c r="O62" s="887"/>
      <c r="P62" s="465"/>
      <c r="Q62" s="425"/>
      <c r="R62" s="355"/>
      <c r="S62" s="438"/>
      <c r="T62" s="399">
        <f t="shared" si="15"/>
        <v>0</v>
      </c>
      <c r="U62" s="430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">
      <c r="A63" s="205"/>
      <c r="B63" s="621"/>
      <c r="C63" s="629"/>
      <c r="D63" s="625"/>
      <c r="E63" s="617"/>
      <c r="F63" s="754" t="str">
        <f t="shared" si="0"/>
        <v/>
      </c>
      <c r="G63" s="760" t="str">
        <f t="shared" si="1"/>
        <v/>
      </c>
      <c r="H63" s="758"/>
      <c r="I63" s="618" t="str">
        <f t="shared" si="2"/>
        <v/>
      </c>
      <c r="J63" s="188" t="str">
        <f t="shared" si="12"/>
        <v/>
      </c>
      <c r="K63" s="188" t="str">
        <f t="shared" si="3"/>
        <v/>
      </c>
      <c r="L63" s="633" t="str">
        <f t="shared" si="13"/>
        <v/>
      </c>
      <c r="M63" s="634" t="str">
        <f t="shared" si="14"/>
        <v/>
      </c>
      <c r="N63" s="910" t="str">
        <f t="shared" si="4"/>
        <v/>
      </c>
      <c r="O63" s="911"/>
      <c r="P63" s="465"/>
      <c r="Q63" s="426"/>
      <c r="R63" s="356"/>
      <c r="S63" s="438"/>
      <c r="T63" s="399">
        <f t="shared" si="15"/>
        <v>0</v>
      </c>
      <c r="U63" s="430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8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">
      <c r="A68" s="848" t="s">
        <v>0</v>
      </c>
      <c r="B68" s="849"/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">
      <c r="A69" s="848" t="s">
        <v>137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">
      <c r="A71" s="31"/>
      <c r="B71" s="87"/>
      <c r="C71" s="87" t="s">
        <v>6</v>
      </c>
      <c r="D71" s="87"/>
      <c r="E71" s="31"/>
      <c r="F71" s="31"/>
      <c r="G71" s="819" t="str">
        <f>IF(totalyrs&gt;1,IF(E5=0,"",E5),"")</f>
        <v/>
      </c>
      <c r="H71" s="819"/>
      <c r="I71" s="819"/>
      <c r="J71" s="819"/>
      <c r="K71" s="819"/>
      <c r="L71" s="819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">
      <c r="A72" s="31"/>
      <c r="B72" s="87"/>
      <c r="C72" s="87" t="s">
        <v>8</v>
      </c>
      <c r="D72" s="87"/>
      <c r="E72" s="31"/>
      <c r="F72" s="31"/>
      <c r="G72" s="819" t="str">
        <f>IF(totalyrs&gt;1,IF(E6=0,"",E6),"")</f>
        <v/>
      </c>
      <c r="H72" s="819"/>
      <c r="I72" s="819"/>
      <c r="J72" s="819"/>
      <c r="K72" s="819"/>
      <c r="L72" s="819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">
      <c r="A73" s="31"/>
      <c r="B73" s="87"/>
      <c r="C73" s="87" t="s">
        <v>122</v>
      </c>
      <c r="D73" s="87"/>
      <c r="E73" s="31"/>
      <c r="F73" s="31"/>
      <c r="G73" s="819" t="str">
        <f>IF(totalyrs&gt;1,IF(E7=0,"",E7),"")</f>
        <v/>
      </c>
      <c r="H73" s="819"/>
      <c r="I73" s="819"/>
      <c r="J73" s="819"/>
      <c r="K73" s="819"/>
      <c r="L73" s="819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">
      <c r="A74" s="31"/>
      <c r="B74" s="87"/>
      <c r="C74" s="87" t="s">
        <v>10</v>
      </c>
      <c r="D74" s="87"/>
      <c r="E74" s="31"/>
      <c r="F74" s="31"/>
      <c r="G74" s="819" t="str">
        <f>IF(totalyrs&gt;1,IF(E8=0,"",E8),"")</f>
        <v/>
      </c>
      <c r="H74" s="819"/>
      <c r="I74" s="819"/>
      <c r="J74" s="819"/>
      <c r="K74" s="819"/>
      <c r="L74" s="81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8" t="s">
        <v>43</v>
      </c>
      <c r="T75" s="408" t="s">
        <v>44</v>
      </c>
      <c r="U75" s="431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">
      <c r="A76" s="100"/>
      <c r="B76" s="306" t="s">
        <v>208</v>
      </c>
      <c r="C76" s="850" t="s">
        <v>43</v>
      </c>
      <c r="D76" s="851"/>
      <c r="E76" s="852"/>
      <c r="F76" s="852"/>
      <c r="G76" s="852"/>
      <c r="H76" s="104" t="s">
        <v>109</v>
      </c>
      <c r="I76" s="299" t="s">
        <v>28</v>
      </c>
      <c r="J76" s="285"/>
      <c r="K76" s="310" t="s">
        <v>208</v>
      </c>
      <c r="L76" s="102" t="s">
        <v>44</v>
      </c>
      <c r="M76" s="103"/>
      <c r="N76" s="103"/>
      <c r="O76" s="103"/>
      <c r="P76" s="286" t="s">
        <v>109</v>
      </c>
      <c r="Q76" s="300" t="s">
        <v>28</v>
      </c>
      <c r="S76" s="412" t="s">
        <v>272</v>
      </c>
      <c r="T76" s="412" t="s">
        <v>272</v>
      </c>
      <c r="U76" s="431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x14ac:dyDescent="0.2">
      <c r="A77" s="301" t="s">
        <v>223</v>
      </c>
      <c r="B77" s="302" t="s">
        <v>131</v>
      </c>
      <c r="C77" s="844" t="s">
        <v>29</v>
      </c>
      <c r="D77" s="845"/>
      <c r="E77" s="300"/>
      <c r="F77" s="300" t="s">
        <v>225</v>
      </c>
      <c r="G77" s="296"/>
      <c r="H77" s="80" t="s">
        <v>110</v>
      </c>
      <c r="I77" s="294" t="s">
        <v>132</v>
      </c>
      <c r="J77" s="307" t="s">
        <v>223</v>
      </c>
      <c r="K77" s="296" t="s">
        <v>131</v>
      </c>
      <c r="L77" s="302" t="str">
        <f>C77</f>
        <v>Salary</v>
      </c>
      <c r="M77" s="300"/>
      <c r="N77" s="296" t="s">
        <v>225</v>
      </c>
      <c r="O77" s="296"/>
      <c r="P77" s="107" t="s">
        <v>110</v>
      </c>
      <c r="Q77" s="300" t="s">
        <v>132</v>
      </c>
      <c r="S77" s="412" t="s">
        <v>312</v>
      </c>
      <c r="T77" s="412" t="s">
        <v>312</v>
      </c>
      <c r="U77" s="431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x14ac:dyDescent="0.2">
      <c r="A78" s="303" t="s">
        <v>222</v>
      </c>
      <c r="B78" s="304" t="s">
        <v>221</v>
      </c>
      <c r="C78" s="846" t="s">
        <v>34</v>
      </c>
      <c r="D78" s="847"/>
      <c r="E78" s="297" t="s">
        <v>30</v>
      </c>
      <c r="F78" s="297" t="s">
        <v>226</v>
      </c>
      <c r="G78" s="297" t="s">
        <v>24</v>
      </c>
      <c r="H78" s="288" t="s">
        <v>33</v>
      </c>
      <c r="I78" s="295" t="s">
        <v>43</v>
      </c>
      <c r="J78" s="308" t="s">
        <v>222</v>
      </c>
      <c r="K78" s="296" t="s">
        <v>221</v>
      </c>
      <c r="L78" s="309" t="str">
        <f>C78</f>
        <v>Requested</v>
      </c>
      <c r="M78" s="297" t="str">
        <f>E78</f>
        <v>Benefits</v>
      </c>
      <c r="N78" s="297" t="s">
        <v>226</v>
      </c>
      <c r="O78" s="297" t="s">
        <v>24</v>
      </c>
      <c r="P78" s="287" t="s">
        <v>33</v>
      </c>
      <c r="Q78" s="299" t="s">
        <v>44</v>
      </c>
      <c r="S78" s="413" t="s">
        <v>297</v>
      </c>
      <c r="T78" s="413" t="s">
        <v>297</v>
      </c>
      <c r="U78" s="431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57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58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9" t="str">
        <f t="shared" ref="H79:H118" si="24">IF(IF(totalyrs&gt;1,(H24),0)=0,"",IF(totalyrs&gt;1,(H24),0))</f>
        <v/>
      </c>
      <c r="I79" s="474" t="str">
        <f t="shared" ref="I79:I118" si="25">IFERROR(H79*D24/12*C24,"")</f>
        <v/>
      </c>
      <c r="J79" s="284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8" t="str">
        <f t="shared" ref="Q79:Q118" si="33">IFERROR(P79*D24/12*C24,"")</f>
        <v/>
      </c>
      <c r="S79" s="401">
        <f>IFERROR(IF((E24*$L$17*(1+$L$16))&gt;$L$18,(((E24*$L$17*(1+$L$16))-$L$18)*H79*(1+L24)),0),"")</f>
        <v>0</v>
      </c>
      <c r="T79" s="401">
        <f>IFERROR(IF((E24*$L$17*(((1+$L$16))^2))&gt;$L$18,(((E24*$L$17*((1+$L$16)^2))-$L$18)*P79*(1+L24)),0),"")</f>
        <v>0</v>
      </c>
      <c r="U79" s="430"/>
      <c r="V79" s="120"/>
      <c r="W79" s="536"/>
      <c r="X79" s="536"/>
      <c r="Y79" s="536"/>
      <c r="Z79" s="536"/>
      <c r="AA79" s="536"/>
      <c r="AB79" s="120"/>
      <c r="AC79" s="120"/>
      <c r="AD79" s="120"/>
      <c r="AK79" s="31"/>
      <c r="AL79" s="31"/>
    </row>
    <row r="80" spans="1:38" ht="12.75" customHeight="1" x14ac:dyDescent="0.2">
      <c r="A80" s="148" t="str">
        <f t="shared" si="18"/>
        <v/>
      </c>
      <c r="B80" s="589" t="str">
        <f t="shared" si="19"/>
        <v/>
      </c>
      <c r="C80" s="857" t="str">
        <f t="shared" si="20"/>
        <v/>
      </c>
      <c r="D80" s="858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9" t="str">
        <f t="shared" si="24"/>
        <v/>
      </c>
      <c r="I80" s="474" t="str">
        <f t="shared" si="25"/>
        <v/>
      </c>
      <c r="J80" s="654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8" t="str">
        <f t="shared" si="33"/>
        <v/>
      </c>
      <c r="S80" s="401">
        <f t="shared" ref="S80:S118" si="34">IFERROR(IF((E25*$L$17*(1+$L$16))&gt;$L$18,(((E25*$L$17*(1+$L$16))-$L$18)*H80*(1+L25)),0),"")</f>
        <v>0</v>
      </c>
      <c r="T80" s="401">
        <f t="shared" ref="T80:T118" si="35">IFERROR(IF((E25*$L$17*(((1+$L$16))^2))&gt;$L$18,(((E25*$L$17*((1+$L$16)^2))-$L$18)*P80*(1+L25)),0),"")</f>
        <v>0</v>
      </c>
      <c r="U80" s="430"/>
      <c r="V80" s="120"/>
      <c r="W80" s="536"/>
      <c r="X80" s="536"/>
      <c r="Y80" s="536"/>
      <c r="Z80" s="536"/>
      <c r="AA80" s="536"/>
      <c r="AB80" s="120"/>
      <c r="AC80" s="120"/>
      <c r="AD80" s="120"/>
      <c r="AK80" s="31"/>
      <c r="AL80" s="31"/>
    </row>
    <row r="81" spans="1:38" ht="12.6" customHeight="1" x14ac:dyDescent="0.2">
      <c r="A81" s="148" t="str">
        <f t="shared" si="18"/>
        <v/>
      </c>
      <c r="B81" s="589" t="str">
        <f t="shared" si="19"/>
        <v/>
      </c>
      <c r="C81" s="857" t="str">
        <f t="shared" si="20"/>
        <v/>
      </c>
      <c r="D81" s="858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9" t="str">
        <f t="shared" si="24"/>
        <v/>
      </c>
      <c r="I81" s="474" t="str">
        <f t="shared" si="25"/>
        <v/>
      </c>
      <c r="J81" s="654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8" t="str">
        <f t="shared" si="33"/>
        <v/>
      </c>
      <c r="R81" s="80"/>
      <c r="S81" s="401">
        <f t="shared" si="34"/>
        <v>0</v>
      </c>
      <c r="T81" s="401">
        <f t="shared" si="35"/>
        <v>0</v>
      </c>
      <c r="U81" s="430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">
      <c r="A82" s="148" t="str">
        <f t="shared" si="18"/>
        <v/>
      </c>
      <c r="B82" s="589" t="str">
        <f t="shared" si="19"/>
        <v/>
      </c>
      <c r="C82" s="857" t="str">
        <f t="shared" si="20"/>
        <v/>
      </c>
      <c r="D82" s="858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9" t="str">
        <f t="shared" si="24"/>
        <v/>
      </c>
      <c r="I82" s="474" t="str">
        <f t="shared" si="25"/>
        <v/>
      </c>
      <c r="J82" s="654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8" t="str">
        <f t="shared" si="33"/>
        <v/>
      </c>
      <c r="R82" s="80"/>
      <c r="S82" s="401">
        <f t="shared" si="34"/>
        <v>0</v>
      </c>
      <c r="T82" s="401">
        <f t="shared" si="35"/>
        <v>0</v>
      </c>
      <c r="U82" s="430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">
      <c r="A83" s="148" t="str">
        <f t="shared" ref="A83:A89" si="36">IF(A28=0,"",A28)</f>
        <v/>
      </c>
      <c r="B83" s="589" t="str">
        <f t="shared" si="19"/>
        <v/>
      </c>
      <c r="C83" s="857" t="str">
        <f t="shared" si="20"/>
        <v/>
      </c>
      <c r="D83" s="858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9" t="str">
        <f t="shared" si="24"/>
        <v/>
      </c>
      <c r="I83" s="474" t="str">
        <f t="shared" si="25"/>
        <v/>
      </c>
      <c r="J83" s="654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8" t="str">
        <f t="shared" si="33"/>
        <v/>
      </c>
      <c r="R83" s="80"/>
      <c r="S83" s="401">
        <f t="shared" si="34"/>
        <v>0</v>
      </c>
      <c r="T83" s="401">
        <f t="shared" si="35"/>
        <v>0</v>
      </c>
      <c r="U83" s="430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">
      <c r="A84" s="148" t="str">
        <f t="shared" si="36"/>
        <v/>
      </c>
      <c r="B84" s="589" t="str">
        <f t="shared" si="19"/>
        <v/>
      </c>
      <c r="C84" s="857" t="str">
        <f t="shared" si="20"/>
        <v/>
      </c>
      <c r="D84" s="858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9" t="str">
        <f t="shared" si="24"/>
        <v/>
      </c>
      <c r="I84" s="474" t="str">
        <f t="shared" si="25"/>
        <v/>
      </c>
      <c r="J84" s="654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8" t="str">
        <f t="shared" si="33"/>
        <v/>
      </c>
      <c r="R84" s="80"/>
      <c r="S84" s="401">
        <f t="shared" si="34"/>
        <v>0</v>
      </c>
      <c r="T84" s="401">
        <f t="shared" si="35"/>
        <v>0</v>
      </c>
      <c r="U84" s="430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">
      <c r="A85" s="148" t="str">
        <f t="shared" si="36"/>
        <v/>
      </c>
      <c r="B85" s="589" t="str">
        <f t="shared" si="19"/>
        <v/>
      </c>
      <c r="C85" s="857" t="str">
        <f t="shared" si="20"/>
        <v/>
      </c>
      <c r="D85" s="858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9" t="str">
        <f t="shared" si="24"/>
        <v/>
      </c>
      <c r="I85" s="474" t="str">
        <f t="shared" si="25"/>
        <v/>
      </c>
      <c r="J85" s="654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8" t="str">
        <f t="shared" si="33"/>
        <v/>
      </c>
      <c r="R85" s="80"/>
      <c r="S85" s="401">
        <f t="shared" si="34"/>
        <v>0</v>
      </c>
      <c r="T85" s="401">
        <f t="shared" si="35"/>
        <v>0</v>
      </c>
      <c r="U85" s="430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">
      <c r="A86" s="148" t="str">
        <f t="shared" si="36"/>
        <v/>
      </c>
      <c r="B86" s="589" t="str">
        <f t="shared" si="19"/>
        <v/>
      </c>
      <c r="C86" s="857" t="str">
        <f t="shared" si="20"/>
        <v/>
      </c>
      <c r="D86" s="858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9" t="str">
        <f t="shared" si="24"/>
        <v/>
      </c>
      <c r="I86" s="474" t="str">
        <f t="shared" si="25"/>
        <v/>
      </c>
      <c r="J86" s="654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8" t="str">
        <f t="shared" si="33"/>
        <v/>
      </c>
      <c r="R86" s="80"/>
      <c r="S86" s="401">
        <f t="shared" si="34"/>
        <v>0</v>
      </c>
      <c r="T86" s="401">
        <f t="shared" si="35"/>
        <v>0</v>
      </c>
      <c r="U86" s="430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">
      <c r="A87" s="148" t="str">
        <f t="shared" si="36"/>
        <v/>
      </c>
      <c r="B87" s="589" t="str">
        <f t="shared" si="19"/>
        <v/>
      </c>
      <c r="C87" s="857" t="str">
        <f t="shared" si="20"/>
        <v/>
      </c>
      <c r="D87" s="858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9" t="str">
        <f t="shared" si="24"/>
        <v/>
      </c>
      <c r="I87" s="474" t="str">
        <f t="shared" si="25"/>
        <v/>
      </c>
      <c r="J87" s="654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8" t="str">
        <f t="shared" si="33"/>
        <v/>
      </c>
      <c r="R87" s="80"/>
      <c r="S87" s="401">
        <f t="shared" si="34"/>
        <v>0</v>
      </c>
      <c r="T87" s="401">
        <f t="shared" si="35"/>
        <v>0</v>
      </c>
      <c r="U87" s="430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">
      <c r="A88" s="148" t="str">
        <f t="shared" si="36"/>
        <v/>
      </c>
      <c r="B88" s="589" t="str">
        <f t="shared" si="19"/>
        <v/>
      </c>
      <c r="C88" s="857" t="str">
        <f t="shared" si="20"/>
        <v/>
      </c>
      <c r="D88" s="858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9" t="str">
        <f t="shared" si="24"/>
        <v/>
      </c>
      <c r="I88" s="474" t="str">
        <f t="shared" si="25"/>
        <v/>
      </c>
      <c r="J88" s="654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8" t="str">
        <f t="shared" si="33"/>
        <v/>
      </c>
      <c r="R88" s="80"/>
      <c r="S88" s="401">
        <f t="shared" si="34"/>
        <v>0</v>
      </c>
      <c r="T88" s="401">
        <f t="shared" si="35"/>
        <v>0</v>
      </c>
      <c r="U88" s="430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">
      <c r="A89" s="148" t="str">
        <f t="shared" si="36"/>
        <v/>
      </c>
      <c r="B89" s="589" t="str">
        <f t="shared" si="19"/>
        <v/>
      </c>
      <c r="C89" s="857" t="str">
        <f t="shared" si="20"/>
        <v/>
      </c>
      <c r="D89" s="858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9" t="str">
        <f t="shared" si="24"/>
        <v/>
      </c>
      <c r="I89" s="474" t="str">
        <f t="shared" si="25"/>
        <v/>
      </c>
      <c r="J89" s="654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8" t="str">
        <f t="shared" si="33"/>
        <v/>
      </c>
      <c r="R89" s="121"/>
      <c r="S89" s="401">
        <f t="shared" si="34"/>
        <v>0</v>
      </c>
      <c r="T89" s="401">
        <f t="shared" si="35"/>
        <v>0</v>
      </c>
      <c r="U89" s="430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">
      <c r="A90" s="148" t="str">
        <f t="shared" si="18"/>
        <v/>
      </c>
      <c r="B90" s="589" t="str">
        <f t="shared" si="19"/>
        <v/>
      </c>
      <c r="C90" s="857" t="str">
        <f t="shared" si="20"/>
        <v/>
      </c>
      <c r="D90" s="858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9" t="str">
        <f t="shared" si="24"/>
        <v/>
      </c>
      <c r="I90" s="474" t="str">
        <f t="shared" si="25"/>
        <v/>
      </c>
      <c r="J90" s="654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8" t="str">
        <f t="shared" si="33"/>
        <v/>
      </c>
      <c r="R90" s="30"/>
      <c r="S90" s="401">
        <f t="shared" si="34"/>
        <v>0</v>
      </c>
      <c r="T90" s="401">
        <f t="shared" si="35"/>
        <v>0</v>
      </c>
      <c r="U90" s="430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">
      <c r="A91" s="148" t="str">
        <f t="shared" si="18"/>
        <v/>
      </c>
      <c r="B91" s="589" t="str">
        <f t="shared" si="19"/>
        <v/>
      </c>
      <c r="C91" s="857" t="str">
        <f t="shared" si="20"/>
        <v/>
      </c>
      <c r="D91" s="858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9" t="str">
        <f t="shared" si="24"/>
        <v/>
      </c>
      <c r="I91" s="474" t="str">
        <f t="shared" si="25"/>
        <v/>
      </c>
      <c r="J91" s="654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8" t="str">
        <f t="shared" si="33"/>
        <v/>
      </c>
      <c r="R91" s="30"/>
      <c r="S91" s="401">
        <f t="shared" si="34"/>
        <v>0</v>
      </c>
      <c r="T91" s="401">
        <f t="shared" si="35"/>
        <v>0</v>
      </c>
      <c r="U91" s="430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">
      <c r="A92" s="148" t="str">
        <f t="shared" si="18"/>
        <v/>
      </c>
      <c r="B92" s="589" t="str">
        <f t="shared" si="19"/>
        <v/>
      </c>
      <c r="C92" s="857" t="str">
        <f t="shared" si="20"/>
        <v/>
      </c>
      <c r="D92" s="858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9" t="str">
        <f t="shared" si="24"/>
        <v/>
      </c>
      <c r="I92" s="474" t="str">
        <f t="shared" si="25"/>
        <v/>
      </c>
      <c r="J92" s="654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8" t="str">
        <f t="shared" si="33"/>
        <v/>
      </c>
      <c r="R92" s="31"/>
      <c r="S92" s="401">
        <f t="shared" si="34"/>
        <v>0</v>
      </c>
      <c r="T92" s="401">
        <f t="shared" si="35"/>
        <v>0</v>
      </c>
      <c r="U92" s="430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">
      <c r="A93" s="148" t="str">
        <f t="shared" si="18"/>
        <v/>
      </c>
      <c r="B93" s="589" t="str">
        <f t="shared" si="19"/>
        <v/>
      </c>
      <c r="C93" s="857" t="str">
        <f t="shared" si="20"/>
        <v/>
      </c>
      <c r="D93" s="858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9" t="str">
        <f t="shared" si="24"/>
        <v/>
      </c>
      <c r="I93" s="474" t="str">
        <f t="shared" si="25"/>
        <v/>
      </c>
      <c r="J93" s="654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8" t="str">
        <f t="shared" si="33"/>
        <v/>
      </c>
      <c r="R93" s="31"/>
      <c r="S93" s="401">
        <f t="shared" si="34"/>
        <v>0</v>
      </c>
      <c r="T93" s="401">
        <f t="shared" si="35"/>
        <v>0</v>
      </c>
      <c r="U93" s="430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">
      <c r="A94" s="148" t="str">
        <f t="shared" si="18"/>
        <v/>
      </c>
      <c r="B94" s="589" t="str">
        <f t="shared" si="19"/>
        <v/>
      </c>
      <c r="C94" s="857" t="str">
        <f t="shared" si="20"/>
        <v/>
      </c>
      <c r="D94" s="858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9" t="str">
        <f t="shared" si="24"/>
        <v/>
      </c>
      <c r="I94" s="474" t="str">
        <f t="shared" si="25"/>
        <v/>
      </c>
      <c r="J94" s="654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8" t="str">
        <f t="shared" si="33"/>
        <v/>
      </c>
      <c r="R94" s="31"/>
      <c r="S94" s="401">
        <f t="shared" si="34"/>
        <v>0</v>
      </c>
      <c r="T94" s="401">
        <f t="shared" si="35"/>
        <v>0</v>
      </c>
      <c r="U94" s="430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">
      <c r="A95" s="148" t="str">
        <f t="shared" si="18"/>
        <v/>
      </c>
      <c r="B95" s="589" t="str">
        <f t="shared" si="19"/>
        <v/>
      </c>
      <c r="C95" s="857" t="str">
        <f t="shared" si="20"/>
        <v/>
      </c>
      <c r="D95" s="858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9" t="str">
        <f t="shared" si="24"/>
        <v/>
      </c>
      <c r="I95" s="474" t="str">
        <f t="shared" si="25"/>
        <v/>
      </c>
      <c r="J95" s="654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8" t="str">
        <f t="shared" si="33"/>
        <v/>
      </c>
      <c r="R95" s="31"/>
      <c r="S95" s="401">
        <f t="shared" si="34"/>
        <v>0</v>
      </c>
      <c r="T95" s="401">
        <f t="shared" si="35"/>
        <v>0</v>
      </c>
      <c r="U95" s="430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">
      <c r="A96" s="148" t="str">
        <f t="shared" si="18"/>
        <v/>
      </c>
      <c r="B96" s="589" t="str">
        <f t="shared" si="19"/>
        <v/>
      </c>
      <c r="C96" s="857" t="str">
        <f t="shared" si="20"/>
        <v/>
      </c>
      <c r="D96" s="858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9" t="str">
        <f t="shared" si="24"/>
        <v/>
      </c>
      <c r="I96" s="474" t="str">
        <f t="shared" si="25"/>
        <v/>
      </c>
      <c r="J96" s="654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8" t="str">
        <f t="shared" si="33"/>
        <v/>
      </c>
      <c r="R96" s="31"/>
      <c r="S96" s="401">
        <f t="shared" si="34"/>
        <v>0</v>
      </c>
      <c r="T96" s="401">
        <f t="shared" si="35"/>
        <v>0</v>
      </c>
      <c r="U96" s="430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">
      <c r="A97" s="148" t="str">
        <f t="shared" si="18"/>
        <v/>
      </c>
      <c r="B97" s="589" t="str">
        <f t="shared" si="19"/>
        <v/>
      </c>
      <c r="C97" s="857" t="str">
        <f t="shared" si="20"/>
        <v/>
      </c>
      <c r="D97" s="858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9" t="str">
        <f t="shared" si="24"/>
        <v/>
      </c>
      <c r="I97" s="474" t="str">
        <f t="shared" si="25"/>
        <v/>
      </c>
      <c r="J97" s="654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8" t="str">
        <f t="shared" si="33"/>
        <v/>
      </c>
      <c r="R97" s="31"/>
      <c r="S97" s="401">
        <f t="shared" si="34"/>
        <v>0</v>
      </c>
      <c r="T97" s="401">
        <f t="shared" si="35"/>
        <v>0</v>
      </c>
      <c r="U97" s="430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">
      <c r="A98" s="148" t="str">
        <f t="shared" si="18"/>
        <v/>
      </c>
      <c r="B98" s="589" t="str">
        <f t="shared" si="19"/>
        <v/>
      </c>
      <c r="C98" s="857" t="str">
        <f t="shared" si="20"/>
        <v/>
      </c>
      <c r="D98" s="858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9" t="str">
        <f t="shared" si="24"/>
        <v/>
      </c>
      <c r="I98" s="474" t="str">
        <f t="shared" si="25"/>
        <v/>
      </c>
      <c r="J98" s="654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8" t="str">
        <f t="shared" si="33"/>
        <v/>
      </c>
      <c r="R98" s="31"/>
      <c r="S98" s="401">
        <f t="shared" si="34"/>
        <v>0</v>
      </c>
      <c r="T98" s="401">
        <f t="shared" si="35"/>
        <v>0</v>
      </c>
      <c r="U98" s="430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">
      <c r="A99" s="148" t="str">
        <f t="shared" si="18"/>
        <v/>
      </c>
      <c r="B99" s="589" t="str">
        <f t="shared" si="19"/>
        <v/>
      </c>
      <c r="C99" s="857" t="str">
        <f t="shared" si="20"/>
        <v/>
      </c>
      <c r="D99" s="858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9" t="str">
        <f t="shared" si="24"/>
        <v/>
      </c>
      <c r="I99" s="474" t="str">
        <f t="shared" si="25"/>
        <v/>
      </c>
      <c r="J99" s="654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8" t="str">
        <f t="shared" si="33"/>
        <v/>
      </c>
      <c r="R99" s="31"/>
      <c r="S99" s="401">
        <f t="shared" si="34"/>
        <v>0</v>
      </c>
      <c r="T99" s="401">
        <f t="shared" si="35"/>
        <v>0</v>
      </c>
      <c r="U99" s="430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">
      <c r="A100" s="148" t="str">
        <f t="shared" si="18"/>
        <v/>
      </c>
      <c r="B100" s="589" t="str">
        <f t="shared" si="19"/>
        <v/>
      </c>
      <c r="C100" s="857" t="str">
        <f t="shared" si="20"/>
        <v/>
      </c>
      <c r="D100" s="858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9" t="str">
        <f t="shared" si="24"/>
        <v/>
      </c>
      <c r="I100" s="474" t="str">
        <f t="shared" si="25"/>
        <v/>
      </c>
      <c r="J100" s="654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8" t="str">
        <f t="shared" si="33"/>
        <v/>
      </c>
      <c r="R100" s="31"/>
      <c r="S100" s="401">
        <f t="shared" si="34"/>
        <v>0</v>
      </c>
      <c r="T100" s="401">
        <f t="shared" si="35"/>
        <v>0</v>
      </c>
      <c r="U100" s="430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">
      <c r="A101" s="148" t="str">
        <f t="shared" si="18"/>
        <v/>
      </c>
      <c r="B101" s="589" t="str">
        <f t="shared" si="19"/>
        <v/>
      </c>
      <c r="C101" s="857" t="str">
        <f t="shared" si="20"/>
        <v/>
      </c>
      <c r="D101" s="858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9" t="str">
        <f t="shared" si="24"/>
        <v/>
      </c>
      <c r="I101" s="474" t="str">
        <f t="shared" si="25"/>
        <v/>
      </c>
      <c r="J101" s="654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8" t="str">
        <f t="shared" si="33"/>
        <v/>
      </c>
      <c r="R101" s="31"/>
      <c r="S101" s="401">
        <f t="shared" si="34"/>
        <v>0</v>
      </c>
      <c r="T101" s="401">
        <f t="shared" si="35"/>
        <v>0</v>
      </c>
      <c r="U101" s="430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">
      <c r="A102" s="148" t="str">
        <f t="shared" si="18"/>
        <v/>
      </c>
      <c r="B102" s="589" t="str">
        <f t="shared" si="19"/>
        <v/>
      </c>
      <c r="C102" s="857" t="str">
        <f t="shared" si="20"/>
        <v/>
      </c>
      <c r="D102" s="858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9" t="str">
        <f t="shared" si="24"/>
        <v/>
      </c>
      <c r="I102" s="474" t="str">
        <f t="shared" si="25"/>
        <v/>
      </c>
      <c r="J102" s="654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8" t="str">
        <f t="shared" si="33"/>
        <v/>
      </c>
      <c r="R102" s="31"/>
      <c r="S102" s="401">
        <f t="shared" si="34"/>
        <v>0</v>
      </c>
      <c r="T102" s="401">
        <f t="shared" si="35"/>
        <v>0</v>
      </c>
      <c r="U102" s="430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">
      <c r="A103" s="148" t="str">
        <f t="shared" si="18"/>
        <v/>
      </c>
      <c r="B103" s="589" t="str">
        <f t="shared" si="19"/>
        <v/>
      </c>
      <c r="C103" s="857" t="str">
        <f t="shared" si="20"/>
        <v/>
      </c>
      <c r="D103" s="858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9" t="str">
        <f t="shared" si="24"/>
        <v/>
      </c>
      <c r="I103" s="474" t="str">
        <f t="shared" si="25"/>
        <v/>
      </c>
      <c r="J103" s="654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8" t="str">
        <f t="shared" si="33"/>
        <v/>
      </c>
      <c r="R103" s="31"/>
      <c r="S103" s="401">
        <f t="shared" si="34"/>
        <v>0</v>
      </c>
      <c r="T103" s="401">
        <f t="shared" si="35"/>
        <v>0</v>
      </c>
      <c r="U103" s="430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">
      <c r="A104" s="148" t="str">
        <f t="shared" si="18"/>
        <v/>
      </c>
      <c r="B104" s="589" t="str">
        <f t="shared" si="19"/>
        <v/>
      </c>
      <c r="C104" s="857" t="str">
        <f t="shared" si="20"/>
        <v/>
      </c>
      <c r="D104" s="858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9" t="str">
        <f t="shared" si="24"/>
        <v/>
      </c>
      <c r="I104" s="474" t="str">
        <f t="shared" si="25"/>
        <v/>
      </c>
      <c r="J104" s="654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8" t="str">
        <f t="shared" si="33"/>
        <v/>
      </c>
      <c r="R104" s="31"/>
      <c r="S104" s="401">
        <f t="shared" si="34"/>
        <v>0</v>
      </c>
      <c r="T104" s="401">
        <f t="shared" si="35"/>
        <v>0</v>
      </c>
      <c r="U104" s="430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">
      <c r="A105" s="148" t="str">
        <f t="shared" si="18"/>
        <v/>
      </c>
      <c r="B105" s="589" t="str">
        <f t="shared" si="19"/>
        <v/>
      </c>
      <c r="C105" s="857" t="str">
        <f t="shared" si="20"/>
        <v/>
      </c>
      <c r="D105" s="858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9" t="str">
        <f t="shared" si="24"/>
        <v/>
      </c>
      <c r="I105" s="474" t="str">
        <f t="shared" si="25"/>
        <v/>
      </c>
      <c r="J105" s="654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8" t="str">
        <f t="shared" si="33"/>
        <v/>
      </c>
      <c r="R105" s="31"/>
      <c r="S105" s="401">
        <f t="shared" si="34"/>
        <v>0</v>
      </c>
      <c r="T105" s="401">
        <f t="shared" si="35"/>
        <v>0</v>
      </c>
      <c r="U105" s="430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">
      <c r="A106" s="148" t="str">
        <f t="shared" si="18"/>
        <v/>
      </c>
      <c r="B106" s="589" t="str">
        <f t="shared" si="19"/>
        <v/>
      </c>
      <c r="C106" s="857" t="str">
        <f t="shared" si="20"/>
        <v/>
      </c>
      <c r="D106" s="858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9" t="str">
        <f t="shared" si="24"/>
        <v/>
      </c>
      <c r="I106" s="474" t="str">
        <f t="shared" si="25"/>
        <v/>
      </c>
      <c r="J106" s="654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8" t="str">
        <f t="shared" si="33"/>
        <v/>
      </c>
      <c r="R106" s="31"/>
      <c r="S106" s="401">
        <f t="shared" si="34"/>
        <v>0</v>
      </c>
      <c r="T106" s="401">
        <f t="shared" si="35"/>
        <v>0</v>
      </c>
      <c r="U106" s="430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">
      <c r="A107" s="148" t="str">
        <f t="shared" si="18"/>
        <v/>
      </c>
      <c r="B107" s="589" t="str">
        <f t="shared" si="19"/>
        <v/>
      </c>
      <c r="C107" s="857" t="str">
        <f t="shared" si="20"/>
        <v/>
      </c>
      <c r="D107" s="858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9" t="str">
        <f t="shared" si="24"/>
        <v/>
      </c>
      <c r="I107" s="474" t="str">
        <f t="shared" si="25"/>
        <v/>
      </c>
      <c r="J107" s="654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8" t="str">
        <f t="shared" si="33"/>
        <v/>
      </c>
      <c r="R107" s="31"/>
      <c r="S107" s="401">
        <f t="shared" si="34"/>
        <v>0</v>
      </c>
      <c r="T107" s="401">
        <f t="shared" si="35"/>
        <v>0</v>
      </c>
      <c r="U107" s="430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">
      <c r="A108" s="148" t="str">
        <f t="shared" si="18"/>
        <v/>
      </c>
      <c r="B108" s="589" t="str">
        <f t="shared" si="19"/>
        <v/>
      </c>
      <c r="C108" s="857" t="str">
        <f t="shared" si="20"/>
        <v/>
      </c>
      <c r="D108" s="858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9" t="str">
        <f t="shared" si="24"/>
        <v/>
      </c>
      <c r="I108" s="474" t="str">
        <f t="shared" si="25"/>
        <v/>
      </c>
      <c r="J108" s="654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8" t="str">
        <f t="shared" si="33"/>
        <v/>
      </c>
      <c r="R108" s="31"/>
      <c r="S108" s="401">
        <f t="shared" si="34"/>
        <v>0</v>
      </c>
      <c r="T108" s="401">
        <f t="shared" si="35"/>
        <v>0</v>
      </c>
      <c r="U108" s="430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">
      <c r="A109" s="148" t="str">
        <f t="shared" si="18"/>
        <v/>
      </c>
      <c r="B109" s="589" t="str">
        <f t="shared" si="19"/>
        <v/>
      </c>
      <c r="C109" s="857" t="str">
        <f t="shared" si="20"/>
        <v/>
      </c>
      <c r="D109" s="858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9" t="str">
        <f t="shared" si="24"/>
        <v/>
      </c>
      <c r="I109" s="474" t="str">
        <f t="shared" si="25"/>
        <v/>
      </c>
      <c r="J109" s="654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8" t="str">
        <f t="shared" si="33"/>
        <v/>
      </c>
      <c r="R109" s="31"/>
      <c r="S109" s="401">
        <f t="shared" si="34"/>
        <v>0</v>
      </c>
      <c r="T109" s="401">
        <f t="shared" si="35"/>
        <v>0</v>
      </c>
      <c r="U109" s="430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">
      <c r="A110" s="148" t="str">
        <f t="shared" si="18"/>
        <v/>
      </c>
      <c r="B110" s="589" t="str">
        <f t="shared" si="19"/>
        <v/>
      </c>
      <c r="C110" s="857" t="str">
        <f t="shared" si="20"/>
        <v/>
      </c>
      <c r="D110" s="858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9" t="str">
        <f t="shared" si="24"/>
        <v/>
      </c>
      <c r="I110" s="474" t="str">
        <f t="shared" si="25"/>
        <v/>
      </c>
      <c r="J110" s="654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8" t="str">
        <f t="shared" si="33"/>
        <v/>
      </c>
      <c r="R110" s="31"/>
      <c r="S110" s="401">
        <f t="shared" si="34"/>
        <v>0</v>
      </c>
      <c r="T110" s="401">
        <f t="shared" si="35"/>
        <v>0</v>
      </c>
      <c r="U110" s="430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">
      <c r="A111" s="148" t="str">
        <f t="shared" si="18"/>
        <v/>
      </c>
      <c r="B111" s="589" t="str">
        <f t="shared" si="19"/>
        <v/>
      </c>
      <c r="C111" s="857" t="str">
        <f t="shared" si="20"/>
        <v/>
      </c>
      <c r="D111" s="858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9" t="str">
        <f t="shared" si="24"/>
        <v/>
      </c>
      <c r="I111" s="474" t="str">
        <f t="shared" si="25"/>
        <v/>
      </c>
      <c r="J111" s="654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8" t="str">
        <f t="shared" si="33"/>
        <v/>
      </c>
      <c r="R111" s="31"/>
      <c r="S111" s="401">
        <f t="shared" si="34"/>
        <v>0</v>
      </c>
      <c r="T111" s="401">
        <f t="shared" si="35"/>
        <v>0</v>
      </c>
      <c r="U111" s="430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">
      <c r="A112" s="148" t="str">
        <f t="shared" si="18"/>
        <v/>
      </c>
      <c r="B112" s="589" t="str">
        <f t="shared" si="19"/>
        <v/>
      </c>
      <c r="C112" s="857" t="str">
        <f t="shared" si="20"/>
        <v/>
      </c>
      <c r="D112" s="858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9" t="str">
        <f t="shared" si="24"/>
        <v/>
      </c>
      <c r="I112" s="474" t="str">
        <f t="shared" si="25"/>
        <v/>
      </c>
      <c r="J112" s="654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8" t="str">
        <f t="shared" si="33"/>
        <v/>
      </c>
      <c r="R112" s="31"/>
      <c r="S112" s="401">
        <f t="shared" si="34"/>
        <v>0</v>
      </c>
      <c r="T112" s="401">
        <f t="shared" si="35"/>
        <v>0</v>
      </c>
      <c r="U112" s="430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">
      <c r="A113" s="148" t="str">
        <f t="shared" si="18"/>
        <v/>
      </c>
      <c r="B113" s="589" t="str">
        <f t="shared" si="19"/>
        <v/>
      </c>
      <c r="C113" s="857" t="str">
        <f t="shared" si="20"/>
        <v/>
      </c>
      <c r="D113" s="858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9" t="str">
        <f t="shared" si="24"/>
        <v/>
      </c>
      <c r="I113" s="474" t="str">
        <f t="shared" si="25"/>
        <v/>
      </c>
      <c r="J113" s="654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8" t="str">
        <f t="shared" si="33"/>
        <v/>
      </c>
      <c r="R113" s="31"/>
      <c r="S113" s="401">
        <f t="shared" si="34"/>
        <v>0</v>
      </c>
      <c r="T113" s="401">
        <f t="shared" si="35"/>
        <v>0</v>
      </c>
      <c r="U113" s="430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">
      <c r="A114" s="148" t="str">
        <f t="shared" si="18"/>
        <v/>
      </c>
      <c r="B114" s="589" t="str">
        <f t="shared" si="19"/>
        <v/>
      </c>
      <c r="C114" s="857" t="str">
        <f t="shared" si="20"/>
        <v/>
      </c>
      <c r="D114" s="858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9" t="str">
        <f t="shared" si="24"/>
        <v/>
      </c>
      <c r="I114" s="474" t="str">
        <f t="shared" si="25"/>
        <v/>
      </c>
      <c r="J114" s="654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8" t="str">
        <f t="shared" si="33"/>
        <v/>
      </c>
      <c r="R114" s="31"/>
      <c r="S114" s="401">
        <f t="shared" si="34"/>
        <v>0</v>
      </c>
      <c r="T114" s="401">
        <f t="shared" si="35"/>
        <v>0</v>
      </c>
      <c r="U114" s="430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">
      <c r="A115" s="148" t="str">
        <f t="shared" si="18"/>
        <v/>
      </c>
      <c r="B115" s="589" t="str">
        <f t="shared" si="19"/>
        <v/>
      </c>
      <c r="C115" s="857" t="str">
        <f t="shared" si="20"/>
        <v/>
      </c>
      <c r="D115" s="858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9" t="str">
        <f t="shared" si="24"/>
        <v/>
      </c>
      <c r="I115" s="474" t="str">
        <f t="shared" si="25"/>
        <v/>
      </c>
      <c r="J115" s="654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8" t="str">
        <f t="shared" si="33"/>
        <v/>
      </c>
      <c r="R115" s="31"/>
      <c r="S115" s="401">
        <f t="shared" si="34"/>
        <v>0</v>
      </c>
      <c r="T115" s="401">
        <f t="shared" si="35"/>
        <v>0</v>
      </c>
      <c r="U115" s="430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">
      <c r="A116" s="148" t="str">
        <f t="shared" si="18"/>
        <v/>
      </c>
      <c r="B116" s="589" t="str">
        <f t="shared" si="19"/>
        <v/>
      </c>
      <c r="C116" s="857" t="str">
        <f t="shared" si="20"/>
        <v/>
      </c>
      <c r="D116" s="858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9" t="str">
        <f t="shared" si="24"/>
        <v/>
      </c>
      <c r="I116" s="474" t="str">
        <f t="shared" si="25"/>
        <v/>
      </c>
      <c r="J116" s="654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8" t="str">
        <f t="shared" si="33"/>
        <v/>
      </c>
      <c r="R116" s="31"/>
      <c r="S116" s="401">
        <f t="shared" si="34"/>
        <v>0</v>
      </c>
      <c r="T116" s="401">
        <f t="shared" si="35"/>
        <v>0</v>
      </c>
      <c r="U116" s="430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">
      <c r="A117" s="148" t="str">
        <f t="shared" si="18"/>
        <v/>
      </c>
      <c r="B117" s="589" t="str">
        <f t="shared" si="19"/>
        <v/>
      </c>
      <c r="C117" s="857" t="str">
        <f t="shared" si="20"/>
        <v/>
      </c>
      <c r="D117" s="858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9" t="str">
        <f t="shared" si="24"/>
        <v/>
      </c>
      <c r="I117" s="474" t="str">
        <f t="shared" si="25"/>
        <v/>
      </c>
      <c r="J117" s="654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8" t="str">
        <f t="shared" si="33"/>
        <v/>
      </c>
      <c r="R117" s="31"/>
      <c r="S117" s="401">
        <f t="shared" si="34"/>
        <v>0</v>
      </c>
      <c r="T117" s="401">
        <f t="shared" si="35"/>
        <v>0</v>
      </c>
      <c r="U117" s="430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">
      <c r="A118" s="148" t="str">
        <f t="shared" si="18"/>
        <v/>
      </c>
      <c r="B118" s="589" t="str">
        <f t="shared" si="19"/>
        <v/>
      </c>
      <c r="C118" s="857" t="str">
        <f t="shared" si="20"/>
        <v/>
      </c>
      <c r="D118" s="858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9" t="str">
        <f t="shared" si="24"/>
        <v/>
      </c>
      <c r="I118" s="593" t="str">
        <f t="shared" si="25"/>
        <v/>
      </c>
      <c r="J118" s="654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92" t="str">
        <f t="shared" si="33"/>
        <v/>
      </c>
      <c r="R118" s="31"/>
      <c r="S118" s="401">
        <f t="shared" si="34"/>
        <v>0</v>
      </c>
      <c r="T118" s="401">
        <f t="shared" si="35"/>
        <v>0</v>
      </c>
      <c r="U118" s="430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">
      <c r="A119" s="122" t="s">
        <v>50</v>
      </c>
      <c r="B119" s="249"/>
      <c r="C119" s="861">
        <f>SUM(C79:C118)</f>
        <v>0</v>
      </c>
      <c r="D119" s="862"/>
      <c r="E119" s="150">
        <f>SUM(E79:E118)</f>
        <v>0</v>
      </c>
      <c r="F119" s="150"/>
      <c r="G119" s="123">
        <f t="shared" ref="G119" si="38">C119+E119</f>
        <v>0</v>
      </c>
      <c r="H119" s="124"/>
      <c r="I119" s="320"/>
      <c r="J119" s="590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22">
        <f>SUM(S79:S118)</f>
        <v>0</v>
      </c>
      <c r="T119" s="422">
        <f>SUM(T79:T118)</f>
        <v>0</v>
      </c>
      <c r="U119" s="432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">
      <c r="A122" s="848" t="s">
        <v>0</v>
      </c>
      <c r="B122" s="849"/>
      <c r="C122" s="849"/>
      <c r="D122" s="849"/>
      <c r="E122" s="849"/>
      <c r="F122" s="849"/>
      <c r="G122" s="849"/>
      <c r="H122" s="849"/>
      <c r="I122" s="849"/>
      <c r="J122" s="849"/>
      <c r="K122" s="849"/>
      <c r="L122" s="849"/>
      <c r="M122" s="849"/>
      <c r="N122" s="849"/>
      <c r="O122" s="849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">
      <c r="A123" s="848" t="s">
        <v>142</v>
      </c>
      <c r="B123" s="849"/>
      <c r="C123" s="849"/>
      <c r="D123" s="849"/>
      <c r="E123" s="849"/>
      <c r="F123" s="849"/>
      <c r="G123" s="849"/>
      <c r="H123" s="849"/>
      <c r="I123" s="849"/>
      <c r="J123" s="849"/>
      <c r="K123" s="849"/>
      <c r="L123" s="849"/>
      <c r="M123" s="849"/>
      <c r="N123" s="849"/>
      <c r="O123" s="849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">
      <c r="A125" s="31"/>
      <c r="B125" s="87"/>
      <c r="C125" s="87" t="s">
        <v>6</v>
      </c>
      <c r="D125" s="87"/>
      <c r="E125" s="31"/>
      <c r="F125" s="31"/>
      <c r="G125" s="819" t="str">
        <f>IF(totalyrs&gt;3,IF(E5=0,"",E5),"")</f>
        <v/>
      </c>
      <c r="H125" s="819"/>
      <c r="I125" s="819"/>
      <c r="J125" s="819"/>
      <c r="K125" s="819"/>
      <c r="L125" s="819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">
      <c r="A126" s="31"/>
      <c r="B126" s="87"/>
      <c r="C126" s="87" t="s">
        <v>8</v>
      </c>
      <c r="D126" s="87"/>
      <c r="E126" s="31"/>
      <c r="F126" s="31"/>
      <c r="G126" s="819" t="str">
        <f>IF(totalyrs&gt;3,IF(E6=0,"",E6),"")</f>
        <v/>
      </c>
      <c r="H126" s="819"/>
      <c r="I126" s="819"/>
      <c r="J126" s="819"/>
      <c r="K126" s="819"/>
      <c r="L126" s="819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">
      <c r="A127" s="31"/>
      <c r="B127" s="87"/>
      <c r="C127" s="87" t="s">
        <v>122</v>
      </c>
      <c r="D127" s="87"/>
      <c r="E127" s="31"/>
      <c r="F127" s="31"/>
      <c r="G127" s="819" t="str">
        <f>IF(totalyrs&gt;3,IF(E7=0,"",E7),"")</f>
        <v/>
      </c>
      <c r="H127" s="819"/>
      <c r="I127" s="819"/>
      <c r="J127" s="819"/>
      <c r="K127" s="819"/>
      <c r="L127" s="819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">
      <c r="A128" s="31"/>
      <c r="B128" s="87"/>
      <c r="C128" s="87" t="s">
        <v>10</v>
      </c>
      <c r="D128" s="87"/>
      <c r="E128" s="31"/>
      <c r="F128" s="31"/>
      <c r="G128" s="819" t="str">
        <f>IF(totalyrs&gt;3,IF(E8=0,"",E8),"")</f>
        <v/>
      </c>
      <c r="H128" s="819"/>
      <c r="I128" s="819"/>
      <c r="J128" s="819"/>
      <c r="K128" s="819"/>
      <c r="L128" s="81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8" t="s">
        <v>52</v>
      </c>
      <c r="T129" s="408" t="s">
        <v>53</v>
      </c>
      <c r="U129" s="431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2">
      <c r="A130" s="100"/>
      <c r="B130" s="306" t="s">
        <v>208</v>
      </c>
      <c r="C130" s="850" t="s">
        <v>52</v>
      </c>
      <c r="D130" s="851"/>
      <c r="E130" s="852"/>
      <c r="F130" s="852"/>
      <c r="G130" s="852"/>
      <c r="H130" s="104" t="s">
        <v>109</v>
      </c>
      <c r="I130" s="311" t="s">
        <v>28</v>
      </c>
      <c r="J130" s="285"/>
      <c r="K130" s="310" t="s">
        <v>208</v>
      </c>
      <c r="L130" s="102" t="s">
        <v>53</v>
      </c>
      <c r="M130" s="103"/>
      <c r="N130" s="103"/>
      <c r="O130" s="103"/>
      <c r="P130" s="286" t="s">
        <v>109</v>
      </c>
      <c r="Q130" s="312" t="s">
        <v>28</v>
      </c>
      <c r="S130" s="412" t="s">
        <v>272</v>
      </c>
      <c r="T130" s="412" t="s">
        <v>272</v>
      </c>
      <c r="U130" s="431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2">
      <c r="A131" s="301" t="s">
        <v>223</v>
      </c>
      <c r="B131" s="302" t="s">
        <v>131</v>
      </c>
      <c r="C131" s="844" t="s">
        <v>29</v>
      </c>
      <c r="D131" s="845"/>
      <c r="E131" s="300"/>
      <c r="F131" s="300" t="s">
        <v>225</v>
      </c>
      <c r="G131" s="296"/>
      <c r="H131" s="107" t="s">
        <v>110</v>
      </c>
      <c r="I131" s="302" t="s">
        <v>132</v>
      </c>
      <c r="J131" s="314" t="s">
        <v>223</v>
      </c>
      <c r="K131" s="296" t="s">
        <v>131</v>
      </c>
      <c r="L131" s="302" t="str">
        <f>C131</f>
        <v>Salary</v>
      </c>
      <c r="M131" s="300"/>
      <c r="N131" s="296" t="s">
        <v>225</v>
      </c>
      <c r="O131" s="296"/>
      <c r="P131" s="107" t="s">
        <v>110</v>
      </c>
      <c r="Q131" s="300" t="s">
        <v>132</v>
      </c>
      <c r="S131" s="412" t="s">
        <v>312</v>
      </c>
      <c r="T131" s="412" t="s">
        <v>312</v>
      </c>
      <c r="U131" s="431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2">
      <c r="A132" s="303" t="s">
        <v>222</v>
      </c>
      <c r="B132" s="305" t="s">
        <v>221</v>
      </c>
      <c r="C132" s="880" t="s">
        <v>34</v>
      </c>
      <c r="D132" s="881"/>
      <c r="E132" s="297" t="s">
        <v>30</v>
      </c>
      <c r="F132" s="297" t="s">
        <v>226</v>
      </c>
      <c r="G132" s="297" t="s">
        <v>24</v>
      </c>
      <c r="H132" s="287" t="s">
        <v>33</v>
      </c>
      <c r="I132" s="302" t="s">
        <v>52</v>
      </c>
      <c r="J132" s="315" t="s">
        <v>222</v>
      </c>
      <c r="K132" s="296" t="s">
        <v>221</v>
      </c>
      <c r="L132" s="304" t="str">
        <f>C132</f>
        <v>Requested</v>
      </c>
      <c r="M132" s="297" t="str">
        <f>E132</f>
        <v>Benefits</v>
      </c>
      <c r="N132" s="297" t="s">
        <v>227</v>
      </c>
      <c r="O132" s="297" t="s">
        <v>24</v>
      </c>
      <c r="P132" s="287" t="s">
        <v>33</v>
      </c>
      <c r="Q132" s="313" t="s">
        <v>53</v>
      </c>
      <c r="S132" s="413" t="s">
        <v>297</v>
      </c>
      <c r="T132" s="413" t="s">
        <v>297</v>
      </c>
      <c r="U132" s="431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43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37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9" t="str">
        <f t="shared" ref="I133:I172" si="47">IFERROR(H133*D24/12*C24,"")</f>
        <v/>
      </c>
      <c r="J133" s="284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8" t="str">
        <f t="shared" ref="Q133:Q172" si="55">IFERROR(P133*D24/12*C24,"")</f>
        <v/>
      </c>
      <c r="S133" s="414">
        <f>IFERROR(IF((E24*$L$17*((1+$L$16)^3))&gt;$L$18,(((E24*$L$17*((1+$L$16)^3))-$L$18)*H133*(1+L24)),0),"")</f>
        <v>0</v>
      </c>
      <c r="T133" s="414">
        <f>IFERROR(IF((E24*$L$17*((1+$L$16)^4))&gt;$L$18,(((E24*$L$17*((1+$L$16)^4))-$L$18)*P133*(1+L24)),0),"")</f>
        <v>0</v>
      </c>
      <c r="U133" s="433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">
      <c r="A134" s="114" t="str">
        <f t="shared" si="40"/>
        <v/>
      </c>
      <c r="B134" s="265" t="str">
        <f t="shared" si="41"/>
        <v/>
      </c>
      <c r="C134" s="843" t="str">
        <f t="shared" si="42"/>
        <v/>
      </c>
      <c r="D134" s="837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9" t="str">
        <f t="shared" si="47"/>
        <v/>
      </c>
      <c r="J134" s="654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8" t="str">
        <f t="shared" si="55"/>
        <v/>
      </c>
      <c r="S134" s="414">
        <f t="shared" ref="S134:S172" si="56">IFERROR(IF((E25*$L$17*((1+$L$16)^3))&gt;$L$18,(((E25*$L$17*((1+$L$16)^3))-$L$18)*H134*(1+L25)),0),"")</f>
        <v>0</v>
      </c>
      <c r="T134" s="414">
        <f t="shared" ref="T134:T172" si="57">IFERROR(IF((E25*$L$17*((1+$L$16)^4))&gt;$L$18,(((E25*$L$17*((1+$L$16)^4))-$L$18)*P134*(1+L25)),0),"")</f>
        <v>0</v>
      </c>
      <c r="U134" s="433"/>
      <c r="V134" s="132"/>
      <c r="W134" s="537"/>
      <c r="X134" s="537"/>
      <c r="Y134" s="537"/>
      <c r="Z134" s="537"/>
      <c r="AA134" s="537"/>
      <c r="AB134" s="132"/>
      <c r="AC134" s="132"/>
      <c r="AD134" s="132"/>
      <c r="AK134" s="31"/>
      <c r="AL134" s="31"/>
    </row>
    <row r="135" spans="1:38" ht="12.75" customHeight="1" x14ac:dyDescent="0.2">
      <c r="A135" s="114" t="str">
        <f t="shared" si="40"/>
        <v/>
      </c>
      <c r="B135" s="265" t="str">
        <f t="shared" si="41"/>
        <v/>
      </c>
      <c r="C135" s="843" t="str">
        <f t="shared" si="42"/>
        <v/>
      </c>
      <c r="D135" s="837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9" t="str">
        <f t="shared" si="47"/>
        <v/>
      </c>
      <c r="J135" s="654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8" t="str">
        <f t="shared" si="55"/>
        <v/>
      </c>
      <c r="S135" s="414">
        <f t="shared" si="56"/>
        <v>0</v>
      </c>
      <c r="T135" s="414">
        <f t="shared" si="57"/>
        <v>0</v>
      </c>
      <c r="U135" s="433"/>
      <c r="V135" s="120"/>
      <c r="W135" s="536"/>
      <c r="X135" s="536"/>
      <c r="Y135" s="536"/>
      <c r="Z135" s="536"/>
      <c r="AA135" s="536"/>
      <c r="AB135" s="120"/>
      <c r="AC135" s="120"/>
      <c r="AD135" s="120"/>
      <c r="AK135" s="31"/>
      <c r="AL135" s="31"/>
    </row>
    <row r="136" spans="1:38" ht="12.75" customHeight="1" x14ac:dyDescent="0.2">
      <c r="A136" s="114" t="str">
        <f t="shared" si="40"/>
        <v/>
      </c>
      <c r="B136" s="265" t="str">
        <f t="shared" si="41"/>
        <v/>
      </c>
      <c r="C136" s="843" t="str">
        <f t="shared" si="42"/>
        <v/>
      </c>
      <c r="D136" s="837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9" t="str">
        <f t="shared" si="47"/>
        <v/>
      </c>
      <c r="J136" s="654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8" t="str">
        <f t="shared" si="55"/>
        <v/>
      </c>
      <c r="R136" s="80"/>
      <c r="S136" s="414">
        <f t="shared" si="56"/>
        <v>0</v>
      </c>
      <c r="T136" s="414">
        <f t="shared" si="57"/>
        <v>0</v>
      </c>
      <c r="U136" s="433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">
      <c r="A137" s="114" t="str">
        <f t="shared" ref="A137:A143" si="58">IF(totalyrs&gt;3,IF(A28=0,"",A28),"")</f>
        <v/>
      </c>
      <c r="B137" s="265" t="str">
        <f t="shared" si="41"/>
        <v/>
      </c>
      <c r="C137" s="843" t="str">
        <f t="shared" si="42"/>
        <v/>
      </c>
      <c r="D137" s="837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9" t="str">
        <f t="shared" si="47"/>
        <v/>
      </c>
      <c r="J137" s="654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8" t="str">
        <f t="shared" si="55"/>
        <v/>
      </c>
      <c r="R137" s="80"/>
      <c r="S137" s="414">
        <f t="shared" si="56"/>
        <v>0</v>
      </c>
      <c r="T137" s="414">
        <f t="shared" si="57"/>
        <v>0</v>
      </c>
      <c r="U137" s="433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">
      <c r="A138" s="114" t="str">
        <f t="shared" si="58"/>
        <v/>
      </c>
      <c r="B138" s="265" t="str">
        <f t="shared" si="41"/>
        <v/>
      </c>
      <c r="C138" s="843" t="str">
        <f t="shared" si="42"/>
        <v/>
      </c>
      <c r="D138" s="837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9" t="str">
        <f t="shared" si="47"/>
        <v/>
      </c>
      <c r="J138" s="654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8" t="str">
        <f t="shared" si="55"/>
        <v/>
      </c>
      <c r="R138" s="80"/>
      <c r="S138" s="414">
        <f t="shared" si="56"/>
        <v>0</v>
      </c>
      <c r="T138" s="414">
        <f t="shared" si="57"/>
        <v>0</v>
      </c>
      <c r="U138" s="433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">
      <c r="A139" s="114" t="str">
        <f t="shared" si="58"/>
        <v/>
      </c>
      <c r="B139" s="265" t="str">
        <f t="shared" si="41"/>
        <v/>
      </c>
      <c r="C139" s="843" t="str">
        <f t="shared" si="42"/>
        <v/>
      </c>
      <c r="D139" s="837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9" t="str">
        <f t="shared" si="47"/>
        <v/>
      </c>
      <c r="J139" s="654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8" t="str">
        <f t="shared" si="55"/>
        <v/>
      </c>
      <c r="R139" s="80"/>
      <c r="S139" s="414">
        <f t="shared" si="56"/>
        <v>0</v>
      </c>
      <c r="T139" s="414">
        <f t="shared" si="57"/>
        <v>0</v>
      </c>
      <c r="U139" s="433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">
      <c r="A140" s="114" t="str">
        <f t="shared" si="58"/>
        <v/>
      </c>
      <c r="B140" s="265" t="str">
        <f t="shared" si="41"/>
        <v/>
      </c>
      <c r="C140" s="843" t="str">
        <f t="shared" si="42"/>
        <v/>
      </c>
      <c r="D140" s="837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9" t="str">
        <f t="shared" si="47"/>
        <v/>
      </c>
      <c r="J140" s="654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8" t="str">
        <f t="shared" si="55"/>
        <v/>
      </c>
      <c r="R140" s="80"/>
      <c r="S140" s="414">
        <f t="shared" si="56"/>
        <v>0</v>
      </c>
      <c r="T140" s="414">
        <f t="shared" si="57"/>
        <v>0</v>
      </c>
      <c r="U140" s="433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">
      <c r="A141" s="114" t="str">
        <f t="shared" si="58"/>
        <v/>
      </c>
      <c r="B141" s="265" t="str">
        <f t="shared" si="41"/>
        <v/>
      </c>
      <c r="C141" s="843" t="str">
        <f t="shared" si="42"/>
        <v/>
      </c>
      <c r="D141" s="837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9" t="str">
        <f t="shared" si="47"/>
        <v/>
      </c>
      <c r="J141" s="654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8" t="str">
        <f t="shared" si="55"/>
        <v/>
      </c>
      <c r="R141" s="80"/>
      <c r="S141" s="414">
        <f t="shared" si="56"/>
        <v>0</v>
      </c>
      <c r="T141" s="414">
        <f t="shared" si="57"/>
        <v>0</v>
      </c>
      <c r="U141" s="433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">
      <c r="A142" s="114" t="str">
        <f t="shared" si="58"/>
        <v/>
      </c>
      <c r="B142" s="265" t="str">
        <f t="shared" si="41"/>
        <v/>
      </c>
      <c r="C142" s="843" t="str">
        <f t="shared" si="42"/>
        <v/>
      </c>
      <c r="D142" s="837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9" t="str">
        <f t="shared" si="47"/>
        <v/>
      </c>
      <c r="J142" s="654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8" t="str">
        <f t="shared" si="55"/>
        <v/>
      </c>
      <c r="R142" s="80"/>
      <c r="S142" s="414">
        <f t="shared" si="56"/>
        <v>0</v>
      </c>
      <c r="T142" s="414">
        <f t="shared" si="57"/>
        <v>0</v>
      </c>
      <c r="U142" s="433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">
      <c r="A143" s="114" t="str">
        <f t="shared" si="58"/>
        <v/>
      </c>
      <c r="B143" s="265" t="str">
        <f t="shared" si="41"/>
        <v/>
      </c>
      <c r="C143" s="843" t="str">
        <f t="shared" si="42"/>
        <v/>
      </c>
      <c r="D143" s="837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9" t="str">
        <f t="shared" si="47"/>
        <v/>
      </c>
      <c r="J143" s="654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8" t="str">
        <f t="shared" si="55"/>
        <v/>
      </c>
      <c r="R143" s="80"/>
      <c r="S143" s="414">
        <f t="shared" si="56"/>
        <v>0</v>
      </c>
      <c r="T143" s="414">
        <f t="shared" si="57"/>
        <v>0</v>
      </c>
      <c r="U143" s="433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">
      <c r="A144" s="114" t="str">
        <f t="shared" si="40"/>
        <v/>
      </c>
      <c r="B144" s="265" t="str">
        <f t="shared" si="41"/>
        <v/>
      </c>
      <c r="C144" s="843" t="str">
        <f t="shared" si="42"/>
        <v/>
      </c>
      <c r="D144" s="837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9" t="str">
        <f t="shared" si="47"/>
        <v/>
      </c>
      <c r="J144" s="654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8" t="str">
        <f t="shared" si="55"/>
        <v/>
      </c>
      <c r="R144" s="30"/>
      <c r="S144" s="414">
        <f t="shared" si="56"/>
        <v>0</v>
      </c>
      <c r="T144" s="414">
        <f t="shared" si="57"/>
        <v>0</v>
      </c>
      <c r="U144" s="433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">
      <c r="A145" s="114" t="str">
        <f t="shared" si="40"/>
        <v/>
      </c>
      <c r="B145" s="265" t="str">
        <f t="shared" si="41"/>
        <v/>
      </c>
      <c r="C145" s="843" t="str">
        <f t="shared" si="42"/>
        <v/>
      </c>
      <c r="D145" s="837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9" t="str">
        <f t="shared" si="47"/>
        <v/>
      </c>
      <c r="J145" s="654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8" t="str">
        <f t="shared" si="55"/>
        <v/>
      </c>
      <c r="R145" s="30"/>
      <c r="S145" s="414">
        <f t="shared" si="56"/>
        <v>0</v>
      </c>
      <c r="T145" s="414">
        <f t="shared" si="57"/>
        <v>0</v>
      </c>
      <c r="U145" s="433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">
      <c r="A146" s="114" t="str">
        <f t="shared" si="40"/>
        <v/>
      </c>
      <c r="B146" s="265" t="str">
        <f t="shared" si="41"/>
        <v/>
      </c>
      <c r="C146" s="843" t="str">
        <f t="shared" si="42"/>
        <v/>
      </c>
      <c r="D146" s="837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9" t="str">
        <f t="shared" si="47"/>
        <v/>
      </c>
      <c r="J146" s="654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8" t="str">
        <f t="shared" si="55"/>
        <v/>
      </c>
      <c r="R146" s="30"/>
      <c r="S146" s="414">
        <f t="shared" si="56"/>
        <v>0</v>
      </c>
      <c r="T146" s="414">
        <f t="shared" si="57"/>
        <v>0</v>
      </c>
      <c r="U146" s="433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">
      <c r="A147" s="114" t="str">
        <f t="shared" si="40"/>
        <v/>
      </c>
      <c r="B147" s="265" t="str">
        <f t="shared" si="41"/>
        <v/>
      </c>
      <c r="C147" s="843" t="str">
        <f t="shared" si="42"/>
        <v/>
      </c>
      <c r="D147" s="837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9" t="str">
        <f t="shared" si="47"/>
        <v/>
      </c>
      <c r="J147" s="654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8" t="str">
        <f t="shared" si="55"/>
        <v/>
      </c>
      <c r="R147" s="31"/>
      <c r="S147" s="414">
        <f t="shared" si="56"/>
        <v>0</v>
      </c>
      <c r="T147" s="414">
        <f t="shared" si="57"/>
        <v>0</v>
      </c>
      <c r="U147" s="433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">
      <c r="A148" s="114" t="str">
        <f t="shared" si="40"/>
        <v/>
      </c>
      <c r="B148" s="265" t="str">
        <f t="shared" si="41"/>
        <v/>
      </c>
      <c r="C148" s="843" t="str">
        <f t="shared" si="42"/>
        <v/>
      </c>
      <c r="D148" s="837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9" t="str">
        <f t="shared" si="47"/>
        <v/>
      </c>
      <c r="J148" s="654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8" t="str">
        <f t="shared" si="55"/>
        <v/>
      </c>
      <c r="R148" s="31"/>
      <c r="S148" s="414">
        <f t="shared" si="56"/>
        <v>0</v>
      </c>
      <c r="T148" s="414">
        <f t="shared" si="57"/>
        <v>0</v>
      </c>
      <c r="U148" s="433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">
      <c r="A149" s="114" t="str">
        <f t="shared" si="40"/>
        <v/>
      </c>
      <c r="B149" s="265" t="str">
        <f t="shared" si="41"/>
        <v/>
      </c>
      <c r="C149" s="843" t="str">
        <f t="shared" si="42"/>
        <v/>
      </c>
      <c r="D149" s="837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9" t="str">
        <f t="shared" si="47"/>
        <v/>
      </c>
      <c r="J149" s="654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8" t="str">
        <f t="shared" si="55"/>
        <v/>
      </c>
      <c r="R149" s="31"/>
      <c r="S149" s="414">
        <f t="shared" si="56"/>
        <v>0</v>
      </c>
      <c r="T149" s="414">
        <f t="shared" si="57"/>
        <v>0</v>
      </c>
      <c r="U149" s="433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">
      <c r="A150" s="114" t="str">
        <f t="shared" si="40"/>
        <v/>
      </c>
      <c r="B150" s="265" t="str">
        <f t="shared" si="41"/>
        <v/>
      </c>
      <c r="C150" s="843" t="str">
        <f t="shared" si="42"/>
        <v/>
      </c>
      <c r="D150" s="837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9" t="str">
        <f t="shared" si="47"/>
        <v/>
      </c>
      <c r="J150" s="654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8" t="str">
        <f t="shared" si="55"/>
        <v/>
      </c>
      <c r="R150" s="31"/>
      <c r="S150" s="414">
        <f t="shared" si="56"/>
        <v>0</v>
      </c>
      <c r="T150" s="414">
        <f t="shared" si="57"/>
        <v>0</v>
      </c>
      <c r="U150" s="433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">
      <c r="A151" s="114" t="str">
        <f t="shared" si="40"/>
        <v/>
      </c>
      <c r="B151" s="265" t="str">
        <f t="shared" si="41"/>
        <v/>
      </c>
      <c r="C151" s="843" t="str">
        <f t="shared" si="42"/>
        <v/>
      </c>
      <c r="D151" s="837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9" t="str">
        <f t="shared" si="47"/>
        <v/>
      </c>
      <c r="J151" s="654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8" t="str">
        <f t="shared" si="55"/>
        <v/>
      </c>
      <c r="R151" s="31"/>
      <c r="S151" s="414">
        <f t="shared" si="56"/>
        <v>0</v>
      </c>
      <c r="T151" s="414">
        <f t="shared" si="57"/>
        <v>0</v>
      </c>
      <c r="U151" s="433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">
      <c r="A152" s="114" t="str">
        <f t="shared" si="40"/>
        <v/>
      </c>
      <c r="B152" s="265" t="str">
        <f t="shared" si="41"/>
        <v/>
      </c>
      <c r="C152" s="843" t="str">
        <f t="shared" si="42"/>
        <v/>
      </c>
      <c r="D152" s="837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9" t="str">
        <f t="shared" si="47"/>
        <v/>
      </c>
      <c r="J152" s="654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8" t="str">
        <f t="shared" si="55"/>
        <v/>
      </c>
      <c r="R152" s="31"/>
      <c r="S152" s="414">
        <f t="shared" si="56"/>
        <v>0</v>
      </c>
      <c r="T152" s="414">
        <f t="shared" si="57"/>
        <v>0</v>
      </c>
      <c r="U152" s="433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">
      <c r="A153" s="114" t="str">
        <f t="shared" si="40"/>
        <v/>
      </c>
      <c r="B153" s="265" t="str">
        <f t="shared" si="41"/>
        <v/>
      </c>
      <c r="C153" s="843" t="str">
        <f t="shared" si="42"/>
        <v/>
      </c>
      <c r="D153" s="837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9" t="str">
        <f t="shared" si="47"/>
        <v/>
      </c>
      <c r="J153" s="654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8" t="str">
        <f t="shared" si="55"/>
        <v/>
      </c>
      <c r="R153" s="31"/>
      <c r="S153" s="414">
        <f t="shared" si="56"/>
        <v>0</v>
      </c>
      <c r="T153" s="414">
        <f t="shared" si="57"/>
        <v>0</v>
      </c>
      <c r="U153" s="433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">
      <c r="A154" s="114" t="str">
        <f t="shared" si="40"/>
        <v/>
      </c>
      <c r="B154" s="265" t="str">
        <f t="shared" si="41"/>
        <v/>
      </c>
      <c r="C154" s="843" t="str">
        <f t="shared" si="42"/>
        <v/>
      </c>
      <c r="D154" s="837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9" t="str">
        <f t="shared" si="47"/>
        <v/>
      </c>
      <c r="J154" s="654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8" t="str">
        <f t="shared" si="55"/>
        <v/>
      </c>
      <c r="R154" s="31"/>
      <c r="S154" s="414">
        <f t="shared" si="56"/>
        <v>0</v>
      </c>
      <c r="T154" s="414">
        <f t="shared" si="57"/>
        <v>0</v>
      </c>
      <c r="U154" s="433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">
      <c r="A155" s="114" t="str">
        <f t="shared" si="40"/>
        <v/>
      </c>
      <c r="B155" s="265" t="str">
        <f t="shared" si="41"/>
        <v/>
      </c>
      <c r="C155" s="843" t="str">
        <f t="shared" si="42"/>
        <v/>
      </c>
      <c r="D155" s="837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9" t="str">
        <f t="shared" si="47"/>
        <v/>
      </c>
      <c r="J155" s="654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8" t="str">
        <f t="shared" si="55"/>
        <v/>
      </c>
      <c r="R155" s="31"/>
      <c r="S155" s="414">
        <f t="shared" si="56"/>
        <v>0</v>
      </c>
      <c r="T155" s="414">
        <f t="shared" si="57"/>
        <v>0</v>
      </c>
      <c r="U155" s="433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">
      <c r="A156" s="114" t="str">
        <f t="shared" si="40"/>
        <v/>
      </c>
      <c r="B156" s="265" t="str">
        <f t="shared" si="41"/>
        <v/>
      </c>
      <c r="C156" s="843" t="str">
        <f t="shared" si="42"/>
        <v/>
      </c>
      <c r="D156" s="837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9" t="str">
        <f t="shared" si="47"/>
        <v/>
      </c>
      <c r="J156" s="654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8" t="str">
        <f t="shared" si="55"/>
        <v/>
      </c>
      <c r="R156" s="31"/>
      <c r="S156" s="414">
        <f t="shared" si="56"/>
        <v>0</v>
      </c>
      <c r="T156" s="414">
        <f t="shared" si="57"/>
        <v>0</v>
      </c>
      <c r="U156" s="433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">
      <c r="A157" s="114" t="str">
        <f t="shared" si="40"/>
        <v/>
      </c>
      <c r="B157" s="265" t="str">
        <f t="shared" si="41"/>
        <v/>
      </c>
      <c r="C157" s="843" t="str">
        <f t="shared" si="42"/>
        <v/>
      </c>
      <c r="D157" s="837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9" t="str">
        <f t="shared" si="47"/>
        <v/>
      </c>
      <c r="J157" s="654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8" t="str">
        <f t="shared" si="55"/>
        <v/>
      </c>
      <c r="R157" s="31"/>
      <c r="S157" s="414">
        <f t="shared" si="56"/>
        <v>0</v>
      </c>
      <c r="T157" s="414">
        <f t="shared" si="57"/>
        <v>0</v>
      </c>
      <c r="U157" s="433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">
      <c r="A158" s="114" t="str">
        <f t="shared" si="40"/>
        <v/>
      </c>
      <c r="B158" s="265" t="str">
        <f t="shared" si="41"/>
        <v/>
      </c>
      <c r="C158" s="843" t="str">
        <f t="shared" si="42"/>
        <v/>
      </c>
      <c r="D158" s="837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9" t="str">
        <f t="shared" si="47"/>
        <v/>
      </c>
      <c r="J158" s="654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8" t="str">
        <f t="shared" si="55"/>
        <v/>
      </c>
      <c r="R158" s="31"/>
      <c r="S158" s="414">
        <f t="shared" si="56"/>
        <v>0</v>
      </c>
      <c r="T158" s="414">
        <f t="shared" si="57"/>
        <v>0</v>
      </c>
      <c r="U158" s="433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">
      <c r="A159" s="114" t="str">
        <f t="shared" si="40"/>
        <v/>
      </c>
      <c r="B159" s="265" t="str">
        <f t="shared" si="41"/>
        <v/>
      </c>
      <c r="C159" s="843" t="str">
        <f t="shared" si="42"/>
        <v/>
      </c>
      <c r="D159" s="837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9" t="str">
        <f t="shared" si="47"/>
        <v/>
      </c>
      <c r="J159" s="654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8" t="str">
        <f t="shared" si="55"/>
        <v/>
      </c>
      <c r="R159" s="31"/>
      <c r="S159" s="414">
        <f t="shared" si="56"/>
        <v>0</v>
      </c>
      <c r="T159" s="414">
        <f t="shared" si="57"/>
        <v>0</v>
      </c>
      <c r="U159" s="433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">
      <c r="A160" s="114" t="str">
        <f t="shared" si="40"/>
        <v/>
      </c>
      <c r="B160" s="265" t="str">
        <f t="shared" si="41"/>
        <v/>
      </c>
      <c r="C160" s="843" t="str">
        <f t="shared" si="42"/>
        <v/>
      </c>
      <c r="D160" s="837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9" t="str">
        <f t="shared" si="47"/>
        <v/>
      </c>
      <c r="J160" s="654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8" t="str">
        <f t="shared" si="55"/>
        <v/>
      </c>
      <c r="R160" s="31"/>
      <c r="S160" s="414">
        <f t="shared" si="56"/>
        <v>0</v>
      </c>
      <c r="T160" s="414">
        <f t="shared" si="57"/>
        <v>0</v>
      </c>
      <c r="U160" s="433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">
      <c r="A161" s="114" t="str">
        <f t="shared" si="40"/>
        <v/>
      </c>
      <c r="B161" s="265" t="str">
        <f t="shared" si="41"/>
        <v/>
      </c>
      <c r="C161" s="843" t="str">
        <f t="shared" si="42"/>
        <v/>
      </c>
      <c r="D161" s="837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9" t="str">
        <f t="shared" si="47"/>
        <v/>
      </c>
      <c r="J161" s="654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8" t="str">
        <f t="shared" si="55"/>
        <v/>
      </c>
      <c r="R161" s="31"/>
      <c r="S161" s="414">
        <f t="shared" si="56"/>
        <v>0</v>
      </c>
      <c r="T161" s="414">
        <f t="shared" si="57"/>
        <v>0</v>
      </c>
      <c r="U161" s="433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">
      <c r="A162" s="114" t="str">
        <f t="shared" si="40"/>
        <v/>
      </c>
      <c r="B162" s="265" t="str">
        <f t="shared" si="41"/>
        <v/>
      </c>
      <c r="C162" s="843" t="str">
        <f t="shared" si="42"/>
        <v/>
      </c>
      <c r="D162" s="837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9" t="str">
        <f t="shared" si="47"/>
        <v/>
      </c>
      <c r="J162" s="654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8" t="str">
        <f t="shared" si="55"/>
        <v/>
      </c>
      <c r="R162" s="31"/>
      <c r="S162" s="414">
        <f t="shared" si="56"/>
        <v>0</v>
      </c>
      <c r="T162" s="414">
        <f t="shared" si="57"/>
        <v>0</v>
      </c>
      <c r="U162" s="433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">
      <c r="A163" s="114" t="str">
        <f t="shared" si="40"/>
        <v/>
      </c>
      <c r="B163" s="265" t="str">
        <f t="shared" si="41"/>
        <v/>
      </c>
      <c r="C163" s="843" t="str">
        <f t="shared" si="42"/>
        <v/>
      </c>
      <c r="D163" s="837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9" t="str">
        <f t="shared" si="47"/>
        <v/>
      </c>
      <c r="J163" s="654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8" t="str">
        <f t="shared" si="55"/>
        <v/>
      </c>
      <c r="R163" s="31"/>
      <c r="S163" s="414">
        <f t="shared" si="56"/>
        <v>0</v>
      </c>
      <c r="T163" s="414">
        <f t="shared" si="57"/>
        <v>0</v>
      </c>
      <c r="U163" s="433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">
      <c r="A164" s="114" t="str">
        <f t="shared" si="40"/>
        <v/>
      </c>
      <c r="B164" s="265" t="str">
        <f t="shared" si="41"/>
        <v/>
      </c>
      <c r="C164" s="843" t="str">
        <f t="shared" si="42"/>
        <v/>
      </c>
      <c r="D164" s="837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9" t="str">
        <f t="shared" si="47"/>
        <v/>
      </c>
      <c r="J164" s="654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8" t="str">
        <f t="shared" si="55"/>
        <v/>
      </c>
      <c r="R164" s="31"/>
      <c r="S164" s="414">
        <f t="shared" si="56"/>
        <v>0</v>
      </c>
      <c r="T164" s="414">
        <f t="shared" si="57"/>
        <v>0</v>
      </c>
      <c r="U164" s="433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">
      <c r="A165" s="114" t="str">
        <f t="shared" si="40"/>
        <v/>
      </c>
      <c r="B165" s="265" t="str">
        <f t="shared" si="41"/>
        <v/>
      </c>
      <c r="C165" s="843" t="str">
        <f t="shared" si="42"/>
        <v/>
      </c>
      <c r="D165" s="837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9" t="str">
        <f t="shared" si="47"/>
        <v/>
      </c>
      <c r="J165" s="654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8" t="str">
        <f t="shared" si="55"/>
        <v/>
      </c>
      <c r="R165" s="31"/>
      <c r="S165" s="414">
        <f t="shared" si="56"/>
        <v>0</v>
      </c>
      <c r="T165" s="414">
        <f t="shared" si="57"/>
        <v>0</v>
      </c>
      <c r="U165" s="433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">
      <c r="A166" s="114" t="str">
        <f t="shared" si="40"/>
        <v/>
      </c>
      <c r="B166" s="265" t="str">
        <f t="shared" si="41"/>
        <v/>
      </c>
      <c r="C166" s="843" t="str">
        <f t="shared" si="42"/>
        <v/>
      </c>
      <c r="D166" s="837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9" t="str">
        <f t="shared" si="47"/>
        <v/>
      </c>
      <c r="J166" s="654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8" t="str">
        <f t="shared" si="55"/>
        <v/>
      </c>
      <c r="R166" s="31"/>
      <c r="S166" s="414">
        <f t="shared" si="56"/>
        <v>0</v>
      </c>
      <c r="T166" s="414">
        <f t="shared" si="57"/>
        <v>0</v>
      </c>
      <c r="U166" s="433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">
      <c r="A167" s="114" t="str">
        <f t="shared" si="40"/>
        <v/>
      </c>
      <c r="B167" s="265" t="str">
        <f t="shared" si="41"/>
        <v/>
      </c>
      <c r="C167" s="843" t="str">
        <f t="shared" si="42"/>
        <v/>
      </c>
      <c r="D167" s="837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9" t="str">
        <f t="shared" si="47"/>
        <v/>
      </c>
      <c r="J167" s="654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8" t="str">
        <f t="shared" si="55"/>
        <v/>
      </c>
      <c r="R167" s="31"/>
      <c r="S167" s="414">
        <f t="shared" si="56"/>
        <v>0</v>
      </c>
      <c r="T167" s="414">
        <f t="shared" si="57"/>
        <v>0</v>
      </c>
      <c r="U167" s="433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">
      <c r="A168" s="114" t="str">
        <f t="shared" si="40"/>
        <v/>
      </c>
      <c r="B168" s="265" t="str">
        <f t="shared" si="41"/>
        <v/>
      </c>
      <c r="C168" s="843" t="str">
        <f t="shared" si="42"/>
        <v/>
      </c>
      <c r="D168" s="837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9" t="str">
        <f t="shared" si="47"/>
        <v/>
      </c>
      <c r="J168" s="654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8" t="str">
        <f t="shared" si="55"/>
        <v/>
      </c>
      <c r="R168" s="31"/>
      <c r="S168" s="414">
        <f t="shared" si="56"/>
        <v>0</v>
      </c>
      <c r="T168" s="414">
        <f t="shared" si="57"/>
        <v>0</v>
      </c>
      <c r="U168" s="433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">
      <c r="A169" s="114" t="str">
        <f t="shared" si="40"/>
        <v/>
      </c>
      <c r="B169" s="265" t="str">
        <f t="shared" si="41"/>
        <v/>
      </c>
      <c r="C169" s="843" t="str">
        <f t="shared" si="42"/>
        <v/>
      </c>
      <c r="D169" s="837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9" t="str">
        <f t="shared" si="47"/>
        <v/>
      </c>
      <c r="J169" s="654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8" t="str">
        <f t="shared" si="55"/>
        <v/>
      </c>
      <c r="R169" s="31"/>
      <c r="S169" s="414">
        <f t="shared" si="56"/>
        <v>0</v>
      </c>
      <c r="T169" s="414">
        <f t="shared" si="57"/>
        <v>0</v>
      </c>
      <c r="U169" s="433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">
      <c r="A170" s="114" t="str">
        <f t="shared" si="40"/>
        <v/>
      </c>
      <c r="B170" s="265" t="str">
        <f t="shared" si="41"/>
        <v/>
      </c>
      <c r="C170" s="843" t="str">
        <f t="shared" si="42"/>
        <v/>
      </c>
      <c r="D170" s="837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9" t="str">
        <f t="shared" si="47"/>
        <v/>
      </c>
      <c r="J170" s="654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8" t="str">
        <f t="shared" si="55"/>
        <v/>
      </c>
      <c r="R170" s="31"/>
      <c r="S170" s="414">
        <f t="shared" si="56"/>
        <v>0</v>
      </c>
      <c r="T170" s="414">
        <f t="shared" si="57"/>
        <v>0</v>
      </c>
      <c r="U170" s="433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">
      <c r="A171" s="114" t="str">
        <f t="shared" si="40"/>
        <v/>
      </c>
      <c r="B171" s="265" t="str">
        <f t="shared" si="41"/>
        <v/>
      </c>
      <c r="C171" s="843" t="str">
        <f t="shared" si="42"/>
        <v/>
      </c>
      <c r="D171" s="837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9" t="str">
        <f t="shared" si="47"/>
        <v/>
      </c>
      <c r="J171" s="654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8" t="str">
        <f t="shared" si="55"/>
        <v/>
      </c>
      <c r="R171" s="31"/>
      <c r="S171" s="414">
        <f t="shared" si="56"/>
        <v>0</v>
      </c>
      <c r="T171" s="414">
        <f t="shared" si="57"/>
        <v>0</v>
      </c>
      <c r="U171" s="433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">
      <c r="A172" s="114" t="str">
        <f t="shared" si="40"/>
        <v/>
      </c>
      <c r="B172" s="265" t="str">
        <f t="shared" si="41"/>
        <v/>
      </c>
      <c r="C172" s="843" t="str">
        <f t="shared" si="42"/>
        <v/>
      </c>
      <c r="D172" s="837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91" t="str">
        <f t="shared" si="47"/>
        <v/>
      </c>
      <c r="J172" s="654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92" t="str">
        <f t="shared" si="55"/>
        <v/>
      </c>
      <c r="R172" s="31"/>
      <c r="S172" s="414">
        <f t="shared" si="56"/>
        <v>0</v>
      </c>
      <c r="T172" s="414">
        <f t="shared" si="57"/>
        <v>0</v>
      </c>
      <c r="U172" s="433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">
      <c r="A173" s="122" t="s">
        <v>50</v>
      </c>
      <c r="B173" s="253"/>
      <c r="C173" s="839">
        <f>SUM(C133:C172)</f>
        <v>0</v>
      </c>
      <c r="D173" s="840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90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21">
        <f>SUM(S133:S172)</f>
        <v>0</v>
      </c>
      <c r="T173" s="421">
        <f>SUM(T133:T172)</f>
        <v>0</v>
      </c>
      <c r="U173" s="434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">
      <c r="A178" s="848" t="s">
        <v>0</v>
      </c>
      <c r="B178" s="849"/>
      <c r="C178" s="849"/>
      <c r="D178" s="849"/>
      <c r="E178" s="849"/>
      <c r="F178" s="849"/>
      <c r="G178" s="849"/>
      <c r="H178" s="849"/>
      <c r="I178" s="849"/>
      <c r="J178" s="849"/>
      <c r="K178" s="849"/>
      <c r="L178" s="849"/>
      <c r="M178" s="849"/>
      <c r="N178" s="849"/>
      <c r="O178" s="849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">
      <c r="A179" s="848" t="s">
        <v>141</v>
      </c>
      <c r="B179" s="849"/>
      <c r="C179" s="849"/>
      <c r="D179" s="849"/>
      <c r="E179" s="849"/>
      <c r="F179" s="849"/>
      <c r="G179" s="849"/>
      <c r="H179" s="849"/>
      <c r="I179" s="849"/>
      <c r="J179" s="849"/>
      <c r="K179" s="849"/>
      <c r="L179" s="849"/>
      <c r="M179" s="849"/>
      <c r="N179" s="849"/>
      <c r="O179" s="849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">
      <c r="A181" s="31"/>
      <c r="B181" s="87"/>
      <c r="C181" s="87" t="s">
        <v>6</v>
      </c>
      <c r="D181" s="87"/>
      <c r="E181" s="31"/>
      <c r="F181" s="31"/>
      <c r="G181" s="819" t="str">
        <f>IF(totalyrs&gt;5,IF(E5=0,"",E5),"")</f>
        <v/>
      </c>
      <c r="H181" s="819"/>
      <c r="I181" s="819"/>
      <c r="J181" s="819"/>
      <c r="K181" s="819"/>
      <c r="L181" s="819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">
      <c r="A182" s="31"/>
      <c r="B182" s="87"/>
      <c r="C182" s="87" t="s">
        <v>8</v>
      </c>
      <c r="D182" s="87"/>
      <c r="E182" s="31"/>
      <c r="F182" s="31"/>
      <c r="G182" s="819" t="str">
        <f>IF(totalyrs&gt;5,IF(E6=0,"",E6),"")</f>
        <v/>
      </c>
      <c r="H182" s="819"/>
      <c r="I182" s="819"/>
      <c r="J182" s="819"/>
      <c r="K182" s="819"/>
      <c r="L182" s="819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">
      <c r="A183" s="31"/>
      <c r="B183" s="87"/>
      <c r="C183" s="87" t="s">
        <v>122</v>
      </c>
      <c r="D183" s="87"/>
      <c r="E183" s="31"/>
      <c r="F183" s="31"/>
      <c r="G183" s="819" t="str">
        <f>IF(totalyrs&gt;5,IF(E7=0,"",E7),"")</f>
        <v/>
      </c>
      <c r="H183" s="819"/>
      <c r="I183" s="819"/>
      <c r="J183" s="819"/>
      <c r="K183" s="819"/>
      <c r="L183" s="819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">
      <c r="A184" s="31"/>
      <c r="B184" s="87"/>
      <c r="C184" s="87" t="s">
        <v>10</v>
      </c>
      <c r="D184" s="87"/>
      <c r="E184" s="31"/>
      <c r="F184" s="31"/>
      <c r="G184" s="819" t="str">
        <f>IF(totalyrs&gt;5,IF(E8=0,"",E8),"")</f>
        <v/>
      </c>
      <c r="H184" s="819"/>
      <c r="I184" s="819"/>
      <c r="J184" s="819"/>
      <c r="K184" s="819"/>
      <c r="L184" s="819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15" t="s">
        <v>144</v>
      </c>
      <c r="T185" s="415" t="s">
        <v>145</v>
      </c>
      <c r="U185" s="435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2">
      <c r="A186" s="100"/>
      <c r="B186" s="306" t="s">
        <v>208</v>
      </c>
      <c r="C186" s="850" t="s">
        <v>144</v>
      </c>
      <c r="D186" s="851"/>
      <c r="E186" s="852"/>
      <c r="F186" s="852"/>
      <c r="G186" s="852"/>
      <c r="H186" s="104" t="s">
        <v>109</v>
      </c>
      <c r="I186" s="311" t="s">
        <v>28</v>
      </c>
      <c r="J186" s="285"/>
      <c r="K186" s="310" t="s">
        <v>208</v>
      </c>
      <c r="L186" s="102" t="s">
        <v>145</v>
      </c>
      <c r="M186" s="103"/>
      <c r="N186" s="103"/>
      <c r="O186" s="103"/>
      <c r="P186" s="286" t="s">
        <v>109</v>
      </c>
      <c r="Q186" s="316" t="s">
        <v>28</v>
      </c>
      <c r="S186" s="416" t="s">
        <v>272</v>
      </c>
      <c r="T186" s="416" t="s">
        <v>272</v>
      </c>
      <c r="U186" s="435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2">
      <c r="A187" s="301" t="s">
        <v>223</v>
      </c>
      <c r="B187" s="302" t="s">
        <v>131</v>
      </c>
      <c r="C187" s="844" t="s">
        <v>29</v>
      </c>
      <c r="D187" s="845"/>
      <c r="E187" s="300"/>
      <c r="F187" s="300" t="s">
        <v>225</v>
      </c>
      <c r="G187" s="296"/>
      <c r="H187" s="107" t="s">
        <v>110</v>
      </c>
      <c r="I187" s="302" t="s">
        <v>132</v>
      </c>
      <c r="J187" s="314" t="s">
        <v>223</v>
      </c>
      <c r="K187" s="296" t="s">
        <v>131</v>
      </c>
      <c r="L187" s="302" t="str">
        <f>C187</f>
        <v>Salary</v>
      </c>
      <c r="M187" s="300"/>
      <c r="N187" s="296" t="s">
        <v>225</v>
      </c>
      <c r="O187" s="296"/>
      <c r="P187" s="107" t="s">
        <v>110</v>
      </c>
      <c r="Q187" s="300" t="s">
        <v>132</v>
      </c>
      <c r="S187" s="416" t="s">
        <v>312</v>
      </c>
      <c r="T187" s="416" t="s">
        <v>312</v>
      </c>
      <c r="U187" s="435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2">
      <c r="A188" s="303" t="s">
        <v>222</v>
      </c>
      <c r="B188" s="305" t="s">
        <v>221</v>
      </c>
      <c r="C188" s="846" t="s">
        <v>34</v>
      </c>
      <c r="D188" s="847"/>
      <c r="E188" s="297" t="s">
        <v>30</v>
      </c>
      <c r="F188" s="297" t="s">
        <v>226</v>
      </c>
      <c r="G188" s="297" t="s">
        <v>24</v>
      </c>
      <c r="H188" s="287" t="s">
        <v>33</v>
      </c>
      <c r="I188" s="309" t="s">
        <v>144</v>
      </c>
      <c r="J188" s="315" t="s">
        <v>222</v>
      </c>
      <c r="K188" s="296" t="s">
        <v>221</v>
      </c>
      <c r="L188" s="304" t="str">
        <f>C188</f>
        <v>Requested</v>
      </c>
      <c r="M188" s="297" t="str">
        <f>E188</f>
        <v>Benefits</v>
      </c>
      <c r="N188" s="297" t="s">
        <v>226</v>
      </c>
      <c r="O188" s="297" t="s">
        <v>24</v>
      </c>
      <c r="P188" s="287" t="s">
        <v>33</v>
      </c>
      <c r="Q188" s="313" t="s">
        <v>145</v>
      </c>
      <c r="S188" s="417" t="s">
        <v>297</v>
      </c>
      <c r="T188" s="417" t="s">
        <v>297</v>
      </c>
      <c r="U188" s="435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43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37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9" t="str">
        <f t="shared" ref="I189:I228" si="69">IFERROR(H189*D24/12*C24,"")</f>
        <v/>
      </c>
      <c r="J189" s="291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8" t="str">
        <f t="shared" ref="Q189:Q228" si="77">IFERROR(P189*D24/12*C24,"")</f>
        <v/>
      </c>
      <c r="S189" s="414">
        <f>IFERROR(IF((E24*$L$17*((1+$L$16)^5))&gt;$L$18,(((E24*$L$17*((1+$L$16)^5))-$L$18)*H189*(1+L24)),0),"")</f>
        <v>0</v>
      </c>
      <c r="T189" s="414">
        <f>IFERROR(IF((E24*$L$17*((1+$L$16)^6))&gt;$L$18,(((E24*$L$17*((1+$L$16)^6))-$L$18)*P189*(1+L24)),0),"")</f>
        <v>0</v>
      </c>
      <c r="U189" s="433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">
      <c r="A190" s="114" t="str">
        <f t="shared" si="62"/>
        <v/>
      </c>
      <c r="B190" s="265" t="str">
        <f t="shared" si="63"/>
        <v/>
      </c>
      <c r="C190" s="843" t="str">
        <f t="shared" si="64"/>
        <v/>
      </c>
      <c r="D190" s="837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9" t="str">
        <f t="shared" si="69"/>
        <v/>
      </c>
      <c r="J190" s="291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8" t="str">
        <f t="shared" si="77"/>
        <v/>
      </c>
      <c r="S190" s="414">
        <f t="shared" ref="S190:S228" si="78">IFERROR(IF((E25*$L$17*((1+$L$16)^5))&gt;$L$18,(((E25*$L$17*((1+$L$16)^5))-$L$18)*H190*(1+L25)),0),"")</f>
        <v>0</v>
      </c>
      <c r="T190" s="414">
        <f t="shared" ref="T190:T228" si="79">IFERROR(IF((E25*$L$17*((1+$L$16)^6))&gt;$L$18,(((E25*$L$17*((1+$L$16)^6))-$L$18)*P190*(1+L25)),0),"")</f>
        <v>0</v>
      </c>
      <c r="U190" s="433"/>
      <c r="V190" s="132"/>
      <c r="W190" s="537"/>
      <c r="X190" s="537"/>
      <c r="Y190" s="537"/>
      <c r="Z190" s="537"/>
      <c r="AA190" s="537"/>
      <c r="AB190" s="132"/>
      <c r="AC190" s="132"/>
      <c r="AD190" s="132"/>
      <c r="AK190" s="31"/>
      <c r="AL190" s="31"/>
    </row>
    <row r="191" spans="1:38" ht="12.75" customHeight="1" x14ac:dyDescent="0.2">
      <c r="A191" s="114" t="str">
        <f t="shared" si="62"/>
        <v/>
      </c>
      <c r="B191" s="265" t="str">
        <f t="shared" si="63"/>
        <v/>
      </c>
      <c r="C191" s="843" t="str">
        <f t="shared" si="64"/>
        <v/>
      </c>
      <c r="D191" s="837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9" t="str">
        <f t="shared" si="69"/>
        <v/>
      </c>
      <c r="J191" s="291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8" t="str">
        <f t="shared" si="77"/>
        <v/>
      </c>
      <c r="S191" s="414">
        <f t="shared" si="78"/>
        <v>0</v>
      </c>
      <c r="T191" s="414">
        <f t="shared" si="79"/>
        <v>0</v>
      </c>
      <c r="U191" s="433"/>
      <c r="V191" s="120"/>
      <c r="W191" s="536"/>
      <c r="X191" s="536"/>
      <c r="Y191" s="536"/>
      <c r="Z191" s="536"/>
      <c r="AA191" s="536"/>
      <c r="AB191" s="120"/>
      <c r="AC191" s="120"/>
      <c r="AD191" s="120"/>
      <c r="AK191" s="31"/>
      <c r="AL191" s="31"/>
    </row>
    <row r="192" spans="1:38" ht="12.75" customHeight="1" x14ac:dyDescent="0.2">
      <c r="A192" s="114" t="str">
        <f t="shared" si="62"/>
        <v/>
      </c>
      <c r="B192" s="265" t="str">
        <f t="shared" si="63"/>
        <v/>
      </c>
      <c r="C192" s="843" t="str">
        <f t="shared" si="64"/>
        <v/>
      </c>
      <c r="D192" s="837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9" t="str">
        <f t="shared" si="69"/>
        <v/>
      </c>
      <c r="J192" s="291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8" t="str">
        <f t="shared" si="77"/>
        <v/>
      </c>
      <c r="R192" s="80"/>
      <c r="S192" s="414">
        <f t="shared" si="78"/>
        <v>0</v>
      </c>
      <c r="T192" s="414">
        <f t="shared" si="79"/>
        <v>0</v>
      </c>
      <c r="U192" s="433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">
      <c r="A193" s="114" t="str">
        <f t="shared" ref="A193:A199" si="80">IF(totalyrs&gt;5,IF(A28=0,"",A28),"")</f>
        <v/>
      </c>
      <c r="B193" s="265" t="str">
        <f t="shared" si="63"/>
        <v/>
      </c>
      <c r="C193" s="843" t="str">
        <f t="shared" si="64"/>
        <v/>
      </c>
      <c r="D193" s="837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9" t="str">
        <f t="shared" si="69"/>
        <v/>
      </c>
      <c r="J193" s="291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8" t="str">
        <f t="shared" si="77"/>
        <v/>
      </c>
      <c r="R193" s="80"/>
      <c r="S193" s="414">
        <f t="shared" si="78"/>
        <v>0</v>
      </c>
      <c r="T193" s="414">
        <f t="shared" si="79"/>
        <v>0</v>
      </c>
      <c r="U193" s="433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">
      <c r="A194" s="114" t="str">
        <f t="shared" si="80"/>
        <v/>
      </c>
      <c r="B194" s="265" t="str">
        <f t="shared" si="63"/>
        <v/>
      </c>
      <c r="C194" s="843" t="str">
        <f t="shared" si="64"/>
        <v/>
      </c>
      <c r="D194" s="837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9" t="str">
        <f t="shared" si="69"/>
        <v/>
      </c>
      <c r="J194" s="291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8" t="str">
        <f t="shared" si="77"/>
        <v/>
      </c>
      <c r="R194" s="80"/>
      <c r="S194" s="414">
        <f t="shared" si="78"/>
        <v>0</v>
      </c>
      <c r="T194" s="414">
        <f t="shared" si="79"/>
        <v>0</v>
      </c>
      <c r="U194" s="433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">
      <c r="A195" s="114" t="str">
        <f t="shared" si="80"/>
        <v/>
      </c>
      <c r="B195" s="265" t="str">
        <f t="shared" si="63"/>
        <v/>
      </c>
      <c r="C195" s="843" t="str">
        <f t="shared" si="64"/>
        <v/>
      </c>
      <c r="D195" s="837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9" t="str">
        <f t="shared" si="69"/>
        <v/>
      </c>
      <c r="J195" s="291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8" t="str">
        <f t="shared" si="77"/>
        <v/>
      </c>
      <c r="R195" s="80"/>
      <c r="S195" s="414">
        <f t="shared" si="78"/>
        <v>0</v>
      </c>
      <c r="T195" s="414">
        <f t="shared" si="79"/>
        <v>0</v>
      </c>
      <c r="U195" s="433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">
      <c r="A196" s="114" t="str">
        <f t="shared" si="80"/>
        <v/>
      </c>
      <c r="B196" s="265" t="str">
        <f t="shared" si="63"/>
        <v/>
      </c>
      <c r="C196" s="843" t="str">
        <f t="shared" si="64"/>
        <v/>
      </c>
      <c r="D196" s="837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9" t="str">
        <f t="shared" si="69"/>
        <v/>
      </c>
      <c r="J196" s="291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8" t="str">
        <f t="shared" si="77"/>
        <v/>
      </c>
      <c r="R196" s="80"/>
      <c r="S196" s="414">
        <f t="shared" si="78"/>
        <v>0</v>
      </c>
      <c r="T196" s="414">
        <f t="shared" si="79"/>
        <v>0</v>
      </c>
      <c r="U196" s="433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">
      <c r="A197" s="114" t="str">
        <f t="shared" si="80"/>
        <v/>
      </c>
      <c r="B197" s="265" t="str">
        <f t="shared" si="63"/>
        <v/>
      </c>
      <c r="C197" s="843" t="str">
        <f t="shared" si="64"/>
        <v/>
      </c>
      <c r="D197" s="837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9" t="str">
        <f t="shared" si="69"/>
        <v/>
      </c>
      <c r="J197" s="291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8" t="str">
        <f t="shared" si="77"/>
        <v/>
      </c>
      <c r="R197" s="80"/>
      <c r="S197" s="414">
        <f t="shared" si="78"/>
        <v>0</v>
      </c>
      <c r="T197" s="414">
        <f t="shared" si="79"/>
        <v>0</v>
      </c>
      <c r="U197" s="433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">
      <c r="A198" s="114" t="str">
        <f t="shared" si="80"/>
        <v/>
      </c>
      <c r="B198" s="265" t="str">
        <f t="shared" si="63"/>
        <v/>
      </c>
      <c r="C198" s="843" t="str">
        <f t="shared" si="64"/>
        <v/>
      </c>
      <c r="D198" s="837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9" t="str">
        <f t="shared" si="69"/>
        <v/>
      </c>
      <c r="J198" s="291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8" t="str">
        <f t="shared" si="77"/>
        <v/>
      </c>
      <c r="R198" s="80"/>
      <c r="S198" s="414">
        <f t="shared" si="78"/>
        <v>0</v>
      </c>
      <c r="T198" s="414">
        <f t="shared" si="79"/>
        <v>0</v>
      </c>
      <c r="U198" s="433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">
      <c r="A199" s="114" t="str">
        <f t="shared" si="80"/>
        <v/>
      </c>
      <c r="B199" s="265" t="str">
        <f t="shared" si="63"/>
        <v/>
      </c>
      <c r="C199" s="843" t="str">
        <f t="shared" si="64"/>
        <v/>
      </c>
      <c r="D199" s="837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9" t="str">
        <f t="shared" si="69"/>
        <v/>
      </c>
      <c r="J199" s="291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8" t="str">
        <f t="shared" si="77"/>
        <v/>
      </c>
      <c r="R199" s="80"/>
      <c r="S199" s="414">
        <f t="shared" si="78"/>
        <v>0</v>
      </c>
      <c r="T199" s="414">
        <f t="shared" si="79"/>
        <v>0</v>
      </c>
      <c r="U199" s="433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">
      <c r="A200" s="114" t="str">
        <f t="shared" si="62"/>
        <v/>
      </c>
      <c r="B200" s="265" t="str">
        <f t="shared" si="63"/>
        <v/>
      </c>
      <c r="C200" s="843" t="str">
        <f t="shared" si="64"/>
        <v/>
      </c>
      <c r="D200" s="837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9" t="str">
        <f t="shared" si="69"/>
        <v/>
      </c>
      <c r="J200" s="291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8" t="str">
        <f t="shared" si="77"/>
        <v/>
      </c>
      <c r="R200" s="30"/>
      <c r="S200" s="414">
        <f t="shared" si="78"/>
        <v>0</v>
      </c>
      <c r="T200" s="414">
        <f t="shared" si="79"/>
        <v>0</v>
      </c>
      <c r="U200" s="433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">
      <c r="A201" s="114" t="str">
        <f t="shared" si="62"/>
        <v/>
      </c>
      <c r="B201" s="265" t="str">
        <f t="shared" si="63"/>
        <v/>
      </c>
      <c r="C201" s="843" t="str">
        <f t="shared" si="64"/>
        <v/>
      </c>
      <c r="D201" s="837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9" t="str">
        <f t="shared" si="69"/>
        <v/>
      </c>
      <c r="J201" s="291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8" t="str">
        <f t="shared" si="77"/>
        <v/>
      </c>
      <c r="R201" s="30"/>
      <c r="S201" s="414">
        <f t="shared" si="78"/>
        <v>0</v>
      </c>
      <c r="T201" s="414">
        <f t="shared" si="79"/>
        <v>0</v>
      </c>
      <c r="U201" s="433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">
      <c r="A202" s="114" t="str">
        <f t="shared" si="62"/>
        <v/>
      </c>
      <c r="B202" s="265" t="str">
        <f t="shared" si="63"/>
        <v/>
      </c>
      <c r="C202" s="843" t="str">
        <f t="shared" si="64"/>
        <v/>
      </c>
      <c r="D202" s="837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9" t="str">
        <f t="shared" si="69"/>
        <v/>
      </c>
      <c r="J202" s="291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8" t="str">
        <f t="shared" si="77"/>
        <v/>
      </c>
      <c r="R202" s="30"/>
      <c r="S202" s="414">
        <f t="shared" si="78"/>
        <v>0</v>
      </c>
      <c r="T202" s="414">
        <f t="shared" si="79"/>
        <v>0</v>
      </c>
      <c r="U202" s="433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">
      <c r="A203" s="114" t="str">
        <f t="shared" si="62"/>
        <v/>
      </c>
      <c r="B203" s="265" t="str">
        <f t="shared" si="63"/>
        <v/>
      </c>
      <c r="C203" s="843" t="str">
        <f t="shared" si="64"/>
        <v/>
      </c>
      <c r="D203" s="837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9" t="str">
        <f t="shared" si="69"/>
        <v/>
      </c>
      <c r="J203" s="291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8" t="str">
        <f t="shared" si="77"/>
        <v/>
      </c>
      <c r="R203" s="31"/>
      <c r="S203" s="414">
        <f t="shared" si="78"/>
        <v>0</v>
      </c>
      <c r="T203" s="414">
        <f t="shared" si="79"/>
        <v>0</v>
      </c>
      <c r="U203" s="433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">
      <c r="A204" s="114" t="str">
        <f t="shared" si="62"/>
        <v/>
      </c>
      <c r="B204" s="265" t="str">
        <f t="shared" si="63"/>
        <v/>
      </c>
      <c r="C204" s="843" t="str">
        <f t="shared" si="64"/>
        <v/>
      </c>
      <c r="D204" s="837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9" t="str">
        <f t="shared" si="69"/>
        <v/>
      </c>
      <c r="J204" s="291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8" t="str">
        <f t="shared" si="77"/>
        <v/>
      </c>
      <c r="R204" s="31"/>
      <c r="S204" s="414">
        <f t="shared" si="78"/>
        <v>0</v>
      </c>
      <c r="T204" s="414">
        <f t="shared" si="79"/>
        <v>0</v>
      </c>
      <c r="U204" s="433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">
      <c r="A205" s="114" t="str">
        <f t="shared" si="62"/>
        <v/>
      </c>
      <c r="B205" s="265" t="str">
        <f t="shared" si="63"/>
        <v/>
      </c>
      <c r="C205" s="843" t="str">
        <f t="shared" si="64"/>
        <v/>
      </c>
      <c r="D205" s="837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9" t="str">
        <f t="shared" si="69"/>
        <v/>
      </c>
      <c r="J205" s="291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8" t="str">
        <f t="shared" si="77"/>
        <v/>
      </c>
      <c r="R205" s="31"/>
      <c r="S205" s="414">
        <f t="shared" si="78"/>
        <v>0</v>
      </c>
      <c r="T205" s="414">
        <f t="shared" si="79"/>
        <v>0</v>
      </c>
      <c r="U205" s="433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">
      <c r="A206" s="114" t="str">
        <f t="shared" si="62"/>
        <v/>
      </c>
      <c r="B206" s="265" t="str">
        <f t="shared" si="63"/>
        <v/>
      </c>
      <c r="C206" s="843" t="str">
        <f t="shared" si="64"/>
        <v/>
      </c>
      <c r="D206" s="837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9" t="str">
        <f t="shared" si="69"/>
        <v/>
      </c>
      <c r="J206" s="291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8" t="str">
        <f t="shared" si="77"/>
        <v/>
      </c>
      <c r="R206" s="31"/>
      <c r="S206" s="414">
        <f t="shared" si="78"/>
        <v>0</v>
      </c>
      <c r="T206" s="414">
        <f t="shared" si="79"/>
        <v>0</v>
      </c>
      <c r="U206" s="433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">
      <c r="A207" s="114" t="str">
        <f t="shared" si="62"/>
        <v/>
      </c>
      <c r="B207" s="265" t="str">
        <f t="shared" si="63"/>
        <v/>
      </c>
      <c r="C207" s="843" t="str">
        <f t="shared" si="64"/>
        <v/>
      </c>
      <c r="D207" s="837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9" t="str">
        <f t="shared" si="69"/>
        <v/>
      </c>
      <c r="J207" s="291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8" t="str">
        <f t="shared" si="77"/>
        <v/>
      </c>
      <c r="R207" s="31"/>
      <c r="S207" s="414">
        <f t="shared" si="78"/>
        <v>0</v>
      </c>
      <c r="T207" s="414">
        <f t="shared" si="79"/>
        <v>0</v>
      </c>
      <c r="U207" s="433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">
      <c r="A208" s="114" t="str">
        <f t="shared" si="62"/>
        <v/>
      </c>
      <c r="B208" s="265" t="str">
        <f t="shared" si="63"/>
        <v/>
      </c>
      <c r="C208" s="843" t="str">
        <f t="shared" si="64"/>
        <v/>
      </c>
      <c r="D208" s="837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9" t="str">
        <f t="shared" si="69"/>
        <v/>
      </c>
      <c r="J208" s="291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8" t="str">
        <f t="shared" si="77"/>
        <v/>
      </c>
      <c r="R208" s="31"/>
      <c r="S208" s="414">
        <f t="shared" si="78"/>
        <v>0</v>
      </c>
      <c r="T208" s="414">
        <f t="shared" si="79"/>
        <v>0</v>
      </c>
      <c r="U208" s="433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">
      <c r="A209" s="114" t="str">
        <f t="shared" si="62"/>
        <v/>
      </c>
      <c r="B209" s="265" t="str">
        <f t="shared" si="63"/>
        <v/>
      </c>
      <c r="C209" s="843" t="str">
        <f t="shared" si="64"/>
        <v/>
      </c>
      <c r="D209" s="837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9" t="str">
        <f t="shared" si="69"/>
        <v/>
      </c>
      <c r="J209" s="291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8" t="str">
        <f t="shared" si="77"/>
        <v/>
      </c>
      <c r="R209" s="31"/>
      <c r="S209" s="414">
        <f t="shared" si="78"/>
        <v>0</v>
      </c>
      <c r="T209" s="414">
        <f t="shared" si="79"/>
        <v>0</v>
      </c>
      <c r="U209" s="433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">
      <c r="A210" s="114" t="str">
        <f t="shared" si="62"/>
        <v/>
      </c>
      <c r="B210" s="265" t="str">
        <f t="shared" si="63"/>
        <v/>
      </c>
      <c r="C210" s="843" t="str">
        <f t="shared" si="64"/>
        <v/>
      </c>
      <c r="D210" s="837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9" t="str">
        <f t="shared" si="69"/>
        <v/>
      </c>
      <c r="J210" s="291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8" t="str">
        <f t="shared" si="77"/>
        <v/>
      </c>
      <c r="R210" s="31"/>
      <c r="S210" s="414">
        <f t="shared" si="78"/>
        <v>0</v>
      </c>
      <c r="T210" s="414">
        <f t="shared" si="79"/>
        <v>0</v>
      </c>
      <c r="U210" s="433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">
      <c r="A211" s="114" t="str">
        <f t="shared" si="62"/>
        <v/>
      </c>
      <c r="B211" s="265" t="str">
        <f t="shared" si="63"/>
        <v/>
      </c>
      <c r="C211" s="843" t="str">
        <f t="shared" si="64"/>
        <v/>
      </c>
      <c r="D211" s="837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9" t="str">
        <f t="shared" si="69"/>
        <v/>
      </c>
      <c r="J211" s="291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8" t="str">
        <f t="shared" si="77"/>
        <v/>
      </c>
      <c r="R211" s="31"/>
      <c r="S211" s="414">
        <f t="shared" si="78"/>
        <v>0</v>
      </c>
      <c r="T211" s="414">
        <f t="shared" si="79"/>
        <v>0</v>
      </c>
      <c r="U211" s="433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">
      <c r="A212" s="114" t="str">
        <f t="shared" si="62"/>
        <v/>
      </c>
      <c r="B212" s="265" t="str">
        <f t="shared" si="63"/>
        <v/>
      </c>
      <c r="C212" s="843" t="str">
        <f t="shared" si="64"/>
        <v/>
      </c>
      <c r="D212" s="837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9" t="str">
        <f t="shared" si="69"/>
        <v/>
      </c>
      <c r="J212" s="291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8" t="str">
        <f t="shared" si="77"/>
        <v/>
      </c>
      <c r="R212" s="31"/>
      <c r="S212" s="414">
        <f t="shared" si="78"/>
        <v>0</v>
      </c>
      <c r="T212" s="414">
        <f t="shared" si="79"/>
        <v>0</v>
      </c>
      <c r="U212" s="433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">
      <c r="A213" s="114" t="str">
        <f t="shared" si="62"/>
        <v/>
      </c>
      <c r="B213" s="265" t="str">
        <f t="shared" si="63"/>
        <v/>
      </c>
      <c r="C213" s="843" t="str">
        <f t="shared" si="64"/>
        <v/>
      </c>
      <c r="D213" s="837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9" t="str">
        <f t="shared" si="69"/>
        <v/>
      </c>
      <c r="J213" s="291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8" t="str">
        <f t="shared" si="77"/>
        <v/>
      </c>
      <c r="R213" s="31"/>
      <c r="S213" s="414">
        <f t="shared" si="78"/>
        <v>0</v>
      </c>
      <c r="T213" s="414">
        <f t="shared" si="79"/>
        <v>0</v>
      </c>
      <c r="U213" s="433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">
      <c r="A214" s="114" t="str">
        <f t="shared" si="62"/>
        <v/>
      </c>
      <c r="B214" s="265" t="str">
        <f t="shared" si="63"/>
        <v/>
      </c>
      <c r="C214" s="843" t="str">
        <f t="shared" si="64"/>
        <v/>
      </c>
      <c r="D214" s="837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9" t="str">
        <f t="shared" si="69"/>
        <v/>
      </c>
      <c r="J214" s="291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8" t="str">
        <f t="shared" si="77"/>
        <v/>
      </c>
      <c r="R214" s="31"/>
      <c r="S214" s="414">
        <f t="shared" si="78"/>
        <v>0</v>
      </c>
      <c r="T214" s="414">
        <f t="shared" si="79"/>
        <v>0</v>
      </c>
      <c r="U214" s="433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">
      <c r="A215" s="114" t="str">
        <f t="shared" si="62"/>
        <v/>
      </c>
      <c r="B215" s="265" t="str">
        <f t="shared" si="63"/>
        <v/>
      </c>
      <c r="C215" s="843" t="str">
        <f t="shared" si="64"/>
        <v/>
      </c>
      <c r="D215" s="837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9" t="str">
        <f t="shared" si="69"/>
        <v/>
      </c>
      <c r="J215" s="291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8" t="str">
        <f t="shared" si="77"/>
        <v/>
      </c>
      <c r="R215" s="31"/>
      <c r="S215" s="414">
        <f t="shared" si="78"/>
        <v>0</v>
      </c>
      <c r="T215" s="414">
        <f t="shared" si="79"/>
        <v>0</v>
      </c>
      <c r="U215" s="433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">
      <c r="A216" s="114" t="str">
        <f t="shared" si="62"/>
        <v/>
      </c>
      <c r="B216" s="265" t="str">
        <f t="shared" si="63"/>
        <v/>
      </c>
      <c r="C216" s="843" t="str">
        <f t="shared" si="64"/>
        <v/>
      </c>
      <c r="D216" s="837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9" t="str">
        <f t="shared" si="69"/>
        <v/>
      </c>
      <c r="J216" s="291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8" t="str">
        <f t="shared" si="77"/>
        <v/>
      </c>
      <c r="R216" s="31"/>
      <c r="S216" s="414">
        <f t="shared" si="78"/>
        <v>0</v>
      </c>
      <c r="T216" s="414">
        <f t="shared" si="79"/>
        <v>0</v>
      </c>
      <c r="U216" s="433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">
      <c r="A217" s="114" t="str">
        <f t="shared" si="62"/>
        <v/>
      </c>
      <c r="B217" s="265" t="str">
        <f t="shared" si="63"/>
        <v/>
      </c>
      <c r="C217" s="843" t="str">
        <f t="shared" si="64"/>
        <v/>
      </c>
      <c r="D217" s="837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9" t="str">
        <f t="shared" si="69"/>
        <v/>
      </c>
      <c r="J217" s="291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8" t="str">
        <f t="shared" si="77"/>
        <v/>
      </c>
      <c r="R217" s="31"/>
      <c r="S217" s="414">
        <f t="shared" si="78"/>
        <v>0</v>
      </c>
      <c r="T217" s="414">
        <f t="shared" si="79"/>
        <v>0</v>
      </c>
      <c r="U217" s="433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">
      <c r="A218" s="114" t="str">
        <f t="shared" si="62"/>
        <v/>
      </c>
      <c r="B218" s="265" t="str">
        <f t="shared" si="63"/>
        <v/>
      </c>
      <c r="C218" s="843" t="str">
        <f t="shared" si="64"/>
        <v/>
      </c>
      <c r="D218" s="837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9" t="str">
        <f t="shared" si="69"/>
        <v/>
      </c>
      <c r="J218" s="291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8" t="str">
        <f t="shared" si="77"/>
        <v/>
      </c>
      <c r="R218" s="31"/>
      <c r="S218" s="414">
        <f t="shared" si="78"/>
        <v>0</v>
      </c>
      <c r="T218" s="414">
        <f t="shared" si="79"/>
        <v>0</v>
      </c>
      <c r="U218" s="433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">
      <c r="A219" s="114" t="str">
        <f t="shared" si="62"/>
        <v/>
      </c>
      <c r="B219" s="265" t="str">
        <f t="shared" si="63"/>
        <v/>
      </c>
      <c r="C219" s="843" t="str">
        <f t="shared" si="64"/>
        <v/>
      </c>
      <c r="D219" s="837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9" t="str">
        <f t="shared" si="69"/>
        <v/>
      </c>
      <c r="J219" s="291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8" t="str">
        <f t="shared" si="77"/>
        <v/>
      </c>
      <c r="R219" s="31"/>
      <c r="S219" s="414">
        <f t="shared" si="78"/>
        <v>0</v>
      </c>
      <c r="T219" s="414">
        <f t="shared" si="79"/>
        <v>0</v>
      </c>
      <c r="U219" s="433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">
      <c r="A220" s="114" t="str">
        <f t="shared" si="62"/>
        <v/>
      </c>
      <c r="B220" s="265" t="str">
        <f t="shared" si="63"/>
        <v/>
      </c>
      <c r="C220" s="843" t="str">
        <f t="shared" si="64"/>
        <v/>
      </c>
      <c r="D220" s="837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9" t="str">
        <f t="shared" si="69"/>
        <v/>
      </c>
      <c r="J220" s="291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8" t="str">
        <f t="shared" si="77"/>
        <v/>
      </c>
      <c r="R220" s="31"/>
      <c r="S220" s="414">
        <f t="shared" si="78"/>
        <v>0</v>
      </c>
      <c r="T220" s="414">
        <f t="shared" si="79"/>
        <v>0</v>
      </c>
      <c r="U220" s="433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">
      <c r="A221" s="114" t="str">
        <f t="shared" si="62"/>
        <v/>
      </c>
      <c r="B221" s="265" t="str">
        <f t="shared" si="63"/>
        <v/>
      </c>
      <c r="C221" s="843" t="str">
        <f t="shared" si="64"/>
        <v/>
      </c>
      <c r="D221" s="837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9" t="str">
        <f t="shared" si="69"/>
        <v/>
      </c>
      <c r="J221" s="291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8" t="str">
        <f t="shared" si="77"/>
        <v/>
      </c>
      <c r="R221" s="31"/>
      <c r="S221" s="414">
        <f t="shared" si="78"/>
        <v>0</v>
      </c>
      <c r="T221" s="414">
        <f t="shared" si="79"/>
        <v>0</v>
      </c>
      <c r="U221" s="433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">
      <c r="A222" s="114" t="str">
        <f t="shared" si="62"/>
        <v/>
      </c>
      <c r="B222" s="265" t="str">
        <f t="shared" si="63"/>
        <v/>
      </c>
      <c r="C222" s="843" t="str">
        <f t="shared" si="64"/>
        <v/>
      </c>
      <c r="D222" s="837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9" t="str">
        <f t="shared" si="69"/>
        <v/>
      </c>
      <c r="J222" s="291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8" t="str">
        <f t="shared" si="77"/>
        <v/>
      </c>
      <c r="R222" s="31"/>
      <c r="S222" s="414">
        <f t="shared" si="78"/>
        <v>0</v>
      </c>
      <c r="T222" s="414">
        <f t="shared" si="79"/>
        <v>0</v>
      </c>
      <c r="U222" s="433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">
      <c r="A223" s="114" t="str">
        <f t="shared" si="62"/>
        <v/>
      </c>
      <c r="B223" s="265" t="str">
        <f t="shared" si="63"/>
        <v/>
      </c>
      <c r="C223" s="843" t="str">
        <f t="shared" si="64"/>
        <v/>
      </c>
      <c r="D223" s="837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9" t="str">
        <f t="shared" si="69"/>
        <v/>
      </c>
      <c r="J223" s="291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8" t="str">
        <f t="shared" si="77"/>
        <v/>
      </c>
      <c r="R223" s="31"/>
      <c r="S223" s="414">
        <f t="shared" si="78"/>
        <v>0</v>
      </c>
      <c r="T223" s="414">
        <f t="shared" si="79"/>
        <v>0</v>
      </c>
      <c r="U223" s="433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">
      <c r="A224" s="114" t="str">
        <f t="shared" si="62"/>
        <v/>
      </c>
      <c r="B224" s="265" t="str">
        <f t="shared" si="63"/>
        <v/>
      </c>
      <c r="C224" s="843" t="str">
        <f t="shared" si="64"/>
        <v/>
      </c>
      <c r="D224" s="837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9" t="str">
        <f t="shared" si="69"/>
        <v/>
      </c>
      <c r="J224" s="291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8" t="str">
        <f t="shared" si="77"/>
        <v/>
      </c>
      <c r="R224" s="31"/>
      <c r="S224" s="414">
        <f t="shared" si="78"/>
        <v>0</v>
      </c>
      <c r="T224" s="414">
        <f t="shared" si="79"/>
        <v>0</v>
      </c>
      <c r="U224" s="433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">
      <c r="A225" s="114" t="str">
        <f t="shared" si="62"/>
        <v/>
      </c>
      <c r="B225" s="265" t="str">
        <f t="shared" si="63"/>
        <v/>
      </c>
      <c r="C225" s="843" t="str">
        <f t="shared" si="64"/>
        <v/>
      </c>
      <c r="D225" s="837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9" t="str">
        <f t="shared" si="69"/>
        <v/>
      </c>
      <c r="J225" s="291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8" t="str">
        <f t="shared" si="77"/>
        <v/>
      </c>
      <c r="R225" s="31"/>
      <c r="S225" s="414">
        <f t="shared" si="78"/>
        <v>0</v>
      </c>
      <c r="T225" s="414">
        <f t="shared" si="79"/>
        <v>0</v>
      </c>
      <c r="U225" s="433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">
      <c r="A226" s="114" t="str">
        <f t="shared" si="62"/>
        <v/>
      </c>
      <c r="B226" s="265" t="str">
        <f t="shared" si="63"/>
        <v/>
      </c>
      <c r="C226" s="843" t="str">
        <f t="shared" si="64"/>
        <v/>
      </c>
      <c r="D226" s="837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9" t="str">
        <f t="shared" si="69"/>
        <v/>
      </c>
      <c r="J226" s="291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8" t="str">
        <f t="shared" si="77"/>
        <v/>
      </c>
      <c r="R226" s="31"/>
      <c r="S226" s="414">
        <f t="shared" si="78"/>
        <v>0</v>
      </c>
      <c r="T226" s="414">
        <f t="shared" si="79"/>
        <v>0</v>
      </c>
      <c r="U226" s="433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">
      <c r="A227" s="114" t="str">
        <f t="shared" si="62"/>
        <v/>
      </c>
      <c r="B227" s="265" t="str">
        <f t="shared" si="63"/>
        <v/>
      </c>
      <c r="C227" s="843" t="str">
        <f t="shared" si="64"/>
        <v/>
      </c>
      <c r="D227" s="837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9" t="str">
        <f t="shared" si="69"/>
        <v/>
      </c>
      <c r="J227" s="291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8" t="str">
        <f t="shared" si="77"/>
        <v/>
      </c>
      <c r="R227" s="31"/>
      <c r="S227" s="414">
        <f t="shared" si="78"/>
        <v>0</v>
      </c>
      <c r="T227" s="414">
        <f t="shared" si="79"/>
        <v>0</v>
      </c>
      <c r="U227" s="433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">
      <c r="A228" s="114" t="str">
        <f t="shared" si="62"/>
        <v/>
      </c>
      <c r="B228" s="265" t="str">
        <f t="shared" si="63"/>
        <v/>
      </c>
      <c r="C228" s="843" t="str">
        <f t="shared" si="64"/>
        <v/>
      </c>
      <c r="D228" s="837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91" t="str">
        <f t="shared" si="69"/>
        <v/>
      </c>
      <c r="J228" s="291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8" t="str">
        <f t="shared" si="77"/>
        <v/>
      </c>
      <c r="R228" s="31"/>
      <c r="S228" s="414">
        <f t="shared" si="78"/>
        <v>0</v>
      </c>
      <c r="T228" s="414">
        <f t="shared" si="79"/>
        <v>0</v>
      </c>
      <c r="U228" s="433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">
      <c r="A229" s="122" t="s">
        <v>50</v>
      </c>
      <c r="B229" s="268"/>
      <c r="C229" s="853">
        <f>SUM(C189:C228)</f>
        <v>0</v>
      </c>
      <c r="D229" s="854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90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21">
        <f>SUM(S189:S228)</f>
        <v>0</v>
      </c>
      <c r="T229" s="421">
        <f>SUM(T189:T228)</f>
        <v>0</v>
      </c>
      <c r="U229" s="434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">
      <c r="A232" s="848" t="s">
        <v>0</v>
      </c>
      <c r="B232" s="849"/>
      <c r="C232" s="849"/>
      <c r="D232" s="849"/>
      <c r="E232" s="849"/>
      <c r="F232" s="849"/>
      <c r="G232" s="849"/>
      <c r="H232" s="849"/>
      <c r="I232" s="849"/>
      <c r="J232" s="849"/>
      <c r="K232" s="849"/>
      <c r="L232" s="849"/>
      <c r="M232" s="849"/>
      <c r="N232" s="849"/>
      <c r="O232" s="849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">
      <c r="A233" s="848" t="s">
        <v>143</v>
      </c>
      <c r="B233" s="849"/>
      <c r="C233" s="849"/>
      <c r="D233" s="849"/>
      <c r="E233" s="849"/>
      <c r="F233" s="849"/>
      <c r="G233" s="849"/>
      <c r="H233" s="849"/>
      <c r="I233" s="849"/>
      <c r="J233" s="849"/>
      <c r="K233" s="849"/>
      <c r="L233" s="849"/>
      <c r="M233" s="849"/>
      <c r="N233" s="849"/>
      <c r="O233" s="849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">
      <c r="A235" s="31"/>
      <c r="B235" s="87"/>
      <c r="C235" s="87" t="s">
        <v>6</v>
      </c>
      <c r="D235" s="87"/>
      <c r="E235" s="31"/>
      <c r="F235" s="31"/>
      <c r="G235" s="819" t="str">
        <f>IF(totalyrs&gt;7,IF(E5=0,"",E5),"")</f>
        <v/>
      </c>
      <c r="H235" s="819"/>
      <c r="I235" s="819"/>
      <c r="J235" s="819"/>
      <c r="K235" s="819"/>
      <c r="L235" s="819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">
      <c r="A236" s="31"/>
      <c r="B236" s="87"/>
      <c r="C236" s="87" t="s">
        <v>8</v>
      </c>
      <c r="D236" s="87"/>
      <c r="E236" s="31"/>
      <c r="F236" s="31"/>
      <c r="G236" s="819" t="str">
        <f>IF(totalyrs&gt;7,IF(E6=0,"",E6),"")</f>
        <v/>
      </c>
      <c r="H236" s="819"/>
      <c r="I236" s="819"/>
      <c r="J236" s="819"/>
      <c r="K236" s="819"/>
      <c r="L236" s="819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">
      <c r="A237" s="31"/>
      <c r="B237" s="87"/>
      <c r="C237" s="87" t="s">
        <v>122</v>
      </c>
      <c r="D237" s="87"/>
      <c r="E237" s="31"/>
      <c r="F237" s="31"/>
      <c r="G237" s="819" t="str">
        <f>IF(totalyrs&gt;7,IF(E7=0,"",E7),"")</f>
        <v/>
      </c>
      <c r="H237" s="819"/>
      <c r="I237" s="819"/>
      <c r="J237" s="819"/>
      <c r="K237" s="819"/>
      <c r="L237" s="819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">
      <c r="A238" s="31"/>
      <c r="B238" s="87"/>
      <c r="C238" s="87" t="s">
        <v>10</v>
      </c>
      <c r="D238" s="87"/>
      <c r="E238" s="31"/>
      <c r="F238" s="31"/>
      <c r="G238" s="819" t="str">
        <f>IF(totalyrs&gt;7,IF(E8=0,"",E8),"")</f>
        <v/>
      </c>
      <c r="H238" s="819"/>
      <c r="I238" s="819"/>
      <c r="J238" s="819"/>
      <c r="K238" s="819"/>
      <c r="L238" s="81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15" t="s">
        <v>149</v>
      </c>
      <c r="T239" s="415" t="s">
        <v>150</v>
      </c>
      <c r="U239" s="435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x14ac:dyDescent="0.2">
      <c r="A240" s="100"/>
      <c r="B240" s="306" t="s">
        <v>208</v>
      </c>
      <c r="C240" s="850" t="s">
        <v>149</v>
      </c>
      <c r="D240" s="851"/>
      <c r="E240" s="852"/>
      <c r="F240" s="852"/>
      <c r="G240" s="852"/>
      <c r="H240" s="104" t="s">
        <v>109</v>
      </c>
      <c r="I240" s="311" t="s">
        <v>28</v>
      </c>
      <c r="J240" s="285"/>
      <c r="K240" s="310" t="s">
        <v>208</v>
      </c>
      <c r="L240" s="102" t="s">
        <v>150</v>
      </c>
      <c r="M240" s="103"/>
      <c r="N240" s="103"/>
      <c r="O240" s="103"/>
      <c r="P240" s="286" t="s">
        <v>109</v>
      </c>
      <c r="Q240" s="316" t="s">
        <v>28</v>
      </c>
      <c r="S240" s="416" t="s">
        <v>272</v>
      </c>
      <c r="T240" s="416" t="s">
        <v>272</v>
      </c>
      <c r="U240" s="435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x14ac:dyDescent="0.2">
      <c r="A241" s="301" t="s">
        <v>223</v>
      </c>
      <c r="B241" s="302" t="s">
        <v>131</v>
      </c>
      <c r="C241" s="844" t="s">
        <v>29</v>
      </c>
      <c r="D241" s="845"/>
      <c r="E241" s="300"/>
      <c r="F241" s="300" t="s">
        <v>225</v>
      </c>
      <c r="G241" s="296"/>
      <c r="H241" s="107" t="s">
        <v>110</v>
      </c>
      <c r="I241" s="302" t="s">
        <v>132</v>
      </c>
      <c r="J241" s="314" t="s">
        <v>223</v>
      </c>
      <c r="K241" s="296" t="s">
        <v>131</v>
      </c>
      <c r="L241" s="302" t="str">
        <f>C241</f>
        <v>Salary</v>
      </c>
      <c r="M241" s="300"/>
      <c r="N241" s="296" t="s">
        <v>225</v>
      </c>
      <c r="O241" s="296"/>
      <c r="P241" s="107" t="s">
        <v>110</v>
      </c>
      <c r="Q241" s="300" t="s">
        <v>132</v>
      </c>
      <c r="S241" s="416" t="s">
        <v>312</v>
      </c>
      <c r="T241" s="416" t="s">
        <v>312</v>
      </c>
      <c r="U241" s="435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x14ac:dyDescent="0.2">
      <c r="A242" s="303" t="s">
        <v>222</v>
      </c>
      <c r="B242" s="305" t="s">
        <v>221</v>
      </c>
      <c r="C242" s="846" t="s">
        <v>34</v>
      </c>
      <c r="D242" s="847"/>
      <c r="E242" s="297" t="s">
        <v>30</v>
      </c>
      <c r="F242" s="297" t="s">
        <v>226</v>
      </c>
      <c r="G242" s="297" t="s">
        <v>24</v>
      </c>
      <c r="H242" s="292" t="s">
        <v>33</v>
      </c>
      <c r="I242" s="302" t="s">
        <v>149</v>
      </c>
      <c r="J242" s="315" t="s">
        <v>222</v>
      </c>
      <c r="K242" s="296" t="s">
        <v>221</v>
      </c>
      <c r="L242" s="304" t="str">
        <f>C242</f>
        <v>Requested</v>
      </c>
      <c r="M242" s="297" t="str">
        <f>E242</f>
        <v>Benefits</v>
      </c>
      <c r="N242" s="297" t="s">
        <v>226</v>
      </c>
      <c r="O242" s="297" t="s">
        <v>24</v>
      </c>
      <c r="P242" s="287" t="s">
        <v>33</v>
      </c>
      <c r="Q242" s="313" t="s">
        <v>150</v>
      </c>
      <c r="S242" s="417" t="s">
        <v>297</v>
      </c>
      <c r="T242" s="417" t="s">
        <v>297</v>
      </c>
      <c r="U242" s="435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43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37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80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9" t="str">
        <f t="shared" ref="H243:H282" si="90">IF(IF(totalyrs&gt;7,(P189),0)=0,"",IF(totalyrs&gt;7,(P189),0))</f>
        <v/>
      </c>
      <c r="I243" s="319" t="str">
        <f t="shared" ref="I243:I282" si="91">IFERROR(H243*D24/12*C24,"")</f>
        <v/>
      </c>
      <c r="J243" s="291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3" t="str">
        <f t="shared" ref="P243:P282" si="98">IF(IF(totalyrs&gt;8,(H243),0)=0,"",IF(totalyrs&gt;8,(H243),0))</f>
        <v/>
      </c>
      <c r="Q243" s="318" t="str">
        <f t="shared" ref="Q243:Q282" si="99">IFERROR(P243*D24/12*C24,"")</f>
        <v/>
      </c>
      <c r="S243" s="414">
        <f>IFERROR(IF((E24*$L$17*((1+$L$16)^7))&gt;$L$18,(((E24*$L$17*((1+$L$16)^7))-$L$18)*H243*(1+L24)),0),"")</f>
        <v>0</v>
      </c>
      <c r="T243" s="414">
        <f>IFERROR(IF((E24*$L$17*((1+$L$16)^8))&gt;$L$18,(((E24*$L$17*((1+$L$16)^8))-$L$18)*P243*(1+L24)),0),"")</f>
        <v>0</v>
      </c>
      <c r="U243" s="433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">
      <c r="A244" s="114" t="str">
        <f t="shared" si="84"/>
        <v/>
      </c>
      <c r="B244" s="265" t="str">
        <f t="shared" si="85"/>
        <v/>
      </c>
      <c r="C244" s="843" t="str">
        <f t="shared" si="86"/>
        <v/>
      </c>
      <c r="D244" s="837"/>
      <c r="E244" s="115" t="str">
        <f t="shared" si="87"/>
        <v/>
      </c>
      <c r="F244" s="280" t="str">
        <f t="shared" si="88"/>
        <v/>
      </c>
      <c r="G244" s="116" t="str">
        <f t="shared" si="89"/>
        <v/>
      </c>
      <c r="H244" s="289" t="str">
        <f t="shared" si="90"/>
        <v/>
      </c>
      <c r="I244" s="319" t="str">
        <f t="shared" si="91"/>
        <v/>
      </c>
      <c r="J244" s="291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3" t="str">
        <f t="shared" si="98"/>
        <v/>
      </c>
      <c r="Q244" s="318" t="str">
        <f t="shared" si="99"/>
        <v/>
      </c>
      <c r="S244" s="414">
        <f t="shared" ref="S244:S282" si="100">IFERROR(IF((E25*$L$17*((1+$L$16)^7))&gt;$L$18,(((E25*$L$17*((1+$L$16)^7))-$L$18)*H244*(1+L25)),0),"")</f>
        <v>0</v>
      </c>
      <c r="T244" s="414">
        <f t="shared" ref="T244:T282" si="101">IFERROR(IF((E25*$L$17*((1+$L$16)^8))&gt;$L$18,(((E25*$L$17*((1+$L$16)^8))-$L$18)*P244*(1+L25)),0),"")</f>
        <v>0</v>
      </c>
      <c r="U244" s="433"/>
      <c r="V244" s="132"/>
      <c r="W244" s="537"/>
      <c r="X244" s="537"/>
      <c r="Y244" s="537"/>
      <c r="Z244" s="537"/>
      <c r="AA244" s="537"/>
      <c r="AB244" s="132"/>
      <c r="AC244" s="132"/>
      <c r="AD244" s="132"/>
      <c r="AK244" s="31"/>
      <c r="AL244" s="31"/>
    </row>
    <row r="245" spans="1:38" x14ac:dyDescent="0.2">
      <c r="A245" s="114" t="str">
        <f t="shared" si="84"/>
        <v/>
      </c>
      <c r="B245" s="265" t="str">
        <f t="shared" si="85"/>
        <v/>
      </c>
      <c r="C245" s="843" t="str">
        <f t="shared" si="86"/>
        <v/>
      </c>
      <c r="D245" s="837"/>
      <c r="E245" s="115" t="str">
        <f t="shared" si="87"/>
        <v/>
      </c>
      <c r="F245" s="280" t="str">
        <f t="shared" si="88"/>
        <v/>
      </c>
      <c r="G245" s="116" t="str">
        <f t="shared" si="89"/>
        <v/>
      </c>
      <c r="H245" s="289" t="str">
        <f t="shared" si="90"/>
        <v/>
      </c>
      <c r="I245" s="319" t="str">
        <f t="shared" si="91"/>
        <v/>
      </c>
      <c r="J245" s="291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3" t="str">
        <f t="shared" si="98"/>
        <v/>
      </c>
      <c r="Q245" s="318" t="str">
        <f t="shared" si="99"/>
        <v/>
      </c>
      <c r="S245" s="414">
        <f t="shared" si="100"/>
        <v>0</v>
      </c>
      <c r="T245" s="414">
        <f t="shared" si="101"/>
        <v>0</v>
      </c>
      <c r="U245" s="433"/>
      <c r="V245" s="120"/>
      <c r="W245" s="536"/>
      <c r="X245" s="536"/>
      <c r="Y245" s="536"/>
      <c r="Z245" s="536"/>
      <c r="AA245" s="536"/>
      <c r="AB245" s="120"/>
      <c r="AC245" s="120"/>
      <c r="AD245" s="120"/>
      <c r="AK245" s="31"/>
      <c r="AL245" s="31"/>
    </row>
    <row r="246" spans="1:38" x14ac:dyDescent="0.2">
      <c r="A246" s="114" t="str">
        <f t="shared" si="84"/>
        <v/>
      </c>
      <c r="B246" s="265" t="str">
        <f t="shared" si="85"/>
        <v/>
      </c>
      <c r="C246" s="843" t="str">
        <f t="shared" si="86"/>
        <v/>
      </c>
      <c r="D246" s="837"/>
      <c r="E246" s="115" t="str">
        <f t="shared" si="87"/>
        <v/>
      </c>
      <c r="F246" s="280" t="str">
        <f t="shared" si="88"/>
        <v/>
      </c>
      <c r="G246" s="116" t="str">
        <f t="shared" si="89"/>
        <v/>
      </c>
      <c r="H246" s="289" t="str">
        <f t="shared" si="90"/>
        <v/>
      </c>
      <c r="I246" s="319" t="str">
        <f t="shared" si="91"/>
        <v/>
      </c>
      <c r="J246" s="291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3" t="str">
        <f t="shared" si="98"/>
        <v/>
      </c>
      <c r="Q246" s="318" t="str">
        <f t="shared" si="99"/>
        <v/>
      </c>
      <c r="R246" s="80"/>
      <c r="S246" s="414">
        <f t="shared" si="100"/>
        <v>0</v>
      </c>
      <c r="T246" s="414">
        <f t="shared" si="101"/>
        <v>0</v>
      </c>
      <c r="U246" s="433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">
      <c r="A247" s="114" t="str">
        <f t="shared" ref="A247:A253" si="102">IF(totalyrs&gt;7,IF(A28=0,"",A28),"")</f>
        <v/>
      </c>
      <c r="B247" s="265" t="str">
        <f t="shared" si="85"/>
        <v/>
      </c>
      <c r="C247" s="843" t="str">
        <f t="shared" si="86"/>
        <v/>
      </c>
      <c r="D247" s="837"/>
      <c r="E247" s="115" t="str">
        <f t="shared" si="87"/>
        <v/>
      </c>
      <c r="F247" s="280" t="str">
        <f t="shared" si="88"/>
        <v/>
      </c>
      <c r="G247" s="116" t="str">
        <f t="shared" si="89"/>
        <v/>
      </c>
      <c r="H247" s="289" t="str">
        <f t="shared" si="90"/>
        <v/>
      </c>
      <c r="I247" s="319" t="str">
        <f t="shared" si="91"/>
        <v/>
      </c>
      <c r="J247" s="291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3" t="str">
        <f t="shared" si="98"/>
        <v/>
      </c>
      <c r="Q247" s="318" t="str">
        <f t="shared" si="99"/>
        <v/>
      </c>
      <c r="R247" s="80"/>
      <c r="S247" s="414">
        <f t="shared" si="100"/>
        <v>0</v>
      </c>
      <c r="T247" s="414">
        <f t="shared" si="101"/>
        <v>0</v>
      </c>
      <c r="U247" s="433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">
      <c r="A248" s="114" t="str">
        <f t="shared" si="102"/>
        <v/>
      </c>
      <c r="B248" s="265" t="str">
        <f t="shared" si="85"/>
        <v/>
      </c>
      <c r="C248" s="843" t="str">
        <f t="shared" si="86"/>
        <v/>
      </c>
      <c r="D248" s="837"/>
      <c r="E248" s="115" t="str">
        <f t="shared" si="87"/>
        <v/>
      </c>
      <c r="F248" s="280" t="str">
        <f t="shared" si="88"/>
        <v/>
      </c>
      <c r="G248" s="116" t="str">
        <f t="shared" si="89"/>
        <v/>
      </c>
      <c r="H248" s="289" t="str">
        <f t="shared" si="90"/>
        <v/>
      </c>
      <c r="I248" s="319" t="str">
        <f t="shared" si="91"/>
        <v/>
      </c>
      <c r="J248" s="291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3" t="str">
        <f t="shared" si="98"/>
        <v/>
      </c>
      <c r="Q248" s="318" t="str">
        <f t="shared" si="99"/>
        <v/>
      </c>
      <c r="R248" s="80"/>
      <c r="S248" s="414">
        <f t="shared" si="100"/>
        <v>0</v>
      </c>
      <c r="T248" s="414">
        <f t="shared" si="101"/>
        <v>0</v>
      </c>
      <c r="U248" s="433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">
      <c r="A249" s="114" t="str">
        <f t="shared" si="102"/>
        <v/>
      </c>
      <c r="B249" s="265" t="str">
        <f t="shared" si="85"/>
        <v/>
      </c>
      <c r="C249" s="843" t="str">
        <f t="shared" si="86"/>
        <v/>
      </c>
      <c r="D249" s="837"/>
      <c r="E249" s="115" t="str">
        <f t="shared" si="87"/>
        <v/>
      </c>
      <c r="F249" s="280" t="str">
        <f t="shared" si="88"/>
        <v/>
      </c>
      <c r="G249" s="116" t="str">
        <f t="shared" si="89"/>
        <v/>
      </c>
      <c r="H249" s="289" t="str">
        <f t="shared" si="90"/>
        <v/>
      </c>
      <c r="I249" s="319" t="str">
        <f t="shared" si="91"/>
        <v/>
      </c>
      <c r="J249" s="291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3" t="str">
        <f t="shared" si="98"/>
        <v/>
      </c>
      <c r="Q249" s="318" t="str">
        <f t="shared" si="99"/>
        <v/>
      </c>
      <c r="R249" s="80"/>
      <c r="S249" s="414">
        <f t="shared" si="100"/>
        <v>0</v>
      </c>
      <c r="T249" s="414">
        <f t="shared" si="101"/>
        <v>0</v>
      </c>
      <c r="U249" s="433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">
      <c r="A250" s="114" t="str">
        <f t="shared" si="102"/>
        <v/>
      </c>
      <c r="B250" s="265" t="str">
        <f t="shared" si="85"/>
        <v/>
      </c>
      <c r="C250" s="843" t="str">
        <f t="shared" si="86"/>
        <v/>
      </c>
      <c r="D250" s="837"/>
      <c r="E250" s="115" t="str">
        <f t="shared" si="87"/>
        <v/>
      </c>
      <c r="F250" s="280" t="str">
        <f t="shared" si="88"/>
        <v/>
      </c>
      <c r="G250" s="116" t="str">
        <f t="shared" si="89"/>
        <v/>
      </c>
      <c r="H250" s="289" t="str">
        <f t="shared" si="90"/>
        <v/>
      </c>
      <c r="I250" s="319" t="str">
        <f t="shared" si="91"/>
        <v/>
      </c>
      <c r="J250" s="291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3" t="str">
        <f t="shared" si="98"/>
        <v/>
      </c>
      <c r="Q250" s="318" t="str">
        <f t="shared" si="99"/>
        <v/>
      </c>
      <c r="R250" s="80"/>
      <c r="S250" s="414">
        <f t="shared" si="100"/>
        <v>0</v>
      </c>
      <c r="T250" s="414">
        <f t="shared" si="101"/>
        <v>0</v>
      </c>
      <c r="U250" s="433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">
      <c r="A251" s="114" t="str">
        <f t="shared" si="102"/>
        <v/>
      </c>
      <c r="B251" s="265" t="str">
        <f t="shared" si="85"/>
        <v/>
      </c>
      <c r="C251" s="843" t="str">
        <f t="shared" si="86"/>
        <v/>
      </c>
      <c r="D251" s="837"/>
      <c r="E251" s="115" t="str">
        <f t="shared" si="87"/>
        <v/>
      </c>
      <c r="F251" s="280" t="str">
        <f t="shared" si="88"/>
        <v/>
      </c>
      <c r="G251" s="116" t="str">
        <f t="shared" si="89"/>
        <v/>
      </c>
      <c r="H251" s="289" t="str">
        <f t="shared" si="90"/>
        <v/>
      </c>
      <c r="I251" s="319" t="str">
        <f t="shared" si="91"/>
        <v/>
      </c>
      <c r="J251" s="291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3" t="str">
        <f t="shared" si="98"/>
        <v/>
      </c>
      <c r="Q251" s="318" t="str">
        <f t="shared" si="99"/>
        <v/>
      </c>
      <c r="R251" s="80"/>
      <c r="S251" s="414">
        <f t="shared" si="100"/>
        <v>0</v>
      </c>
      <c r="T251" s="414">
        <f t="shared" si="101"/>
        <v>0</v>
      </c>
      <c r="U251" s="433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">
      <c r="A252" s="114" t="str">
        <f t="shared" si="102"/>
        <v/>
      </c>
      <c r="B252" s="265" t="str">
        <f t="shared" si="85"/>
        <v/>
      </c>
      <c r="C252" s="843" t="str">
        <f t="shared" si="86"/>
        <v/>
      </c>
      <c r="D252" s="837"/>
      <c r="E252" s="115" t="str">
        <f t="shared" si="87"/>
        <v/>
      </c>
      <c r="F252" s="280" t="str">
        <f t="shared" si="88"/>
        <v/>
      </c>
      <c r="G252" s="116" t="str">
        <f t="shared" si="89"/>
        <v/>
      </c>
      <c r="H252" s="289" t="str">
        <f t="shared" si="90"/>
        <v/>
      </c>
      <c r="I252" s="319" t="str">
        <f t="shared" si="91"/>
        <v/>
      </c>
      <c r="J252" s="291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3" t="str">
        <f t="shared" si="98"/>
        <v/>
      </c>
      <c r="Q252" s="318" t="str">
        <f t="shared" si="99"/>
        <v/>
      </c>
      <c r="R252" s="80"/>
      <c r="S252" s="414">
        <f t="shared" si="100"/>
        <v>0</v>
      </c>
      <c r="T252" s="414">
        <f t="shared" si="101"/>
        <v>0</v>
      </c>
      <c r="U252" s="433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">
      <c r="A253" s="114" t="str">
        <f t="shared" si="102"/>
        <v/>
      </c>
      <c r="B253" s="265" t="str">
        <f t="shared" si="85"/>
        <v/>
      </c>
      <c r="C253" s="843" t="str">
        <f t="shared" si="86"/>
        <v/>
      </c>
      <c r="D253" s="837"/>
      <c r="E253" s="115" t="str">
        <f t="shared" si="87"/>
        <v/>
      </c>
      <c r="F253" s="280" t="str">
        <f t="shared" si="88"/>
        <v/>
      </c>
      <c r="G253" s="116" t="str">
        <f t="shared" si="89"/>
        <v/>
      </c>
      <c r="H253" s="289" t="str">
        <f t="shared" si="90"/>
        <v/>
      </c>
      <c r="I253" s="319" t="str">
        <f t="shared" si="91"/>
        <v/>
      </c>
      <c r="J253" s="291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3" t="str">
        <f t="shared" si="98"/>
        <v/>
      </c>
      <c r="Q253" s="318" t="str">
        <f t="shared" si="99"/>
        <v/>
      </c>
      <c r="R253" s="80"/>
      <c r="S253" s="414">
        <f t="shared" si="100"/>
        <v>0</v>
      </c>
      <c r="T253" s="414">
        <f t="shared" si="101"/>
        <v>0</v>
      </c>
      <c r="U253" s="433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">
      <c r="A254" s="114" t="str">
        <f t="shared" si="84"/>
        <v/>
      </c>
      <c r="B254" s="265" t="str">
        <f t="shared" si="85"/>
        <v/>
      </c>
      <c r="C254" s="843" t="str">
        <f t="shared" si="86"/>
        <v/>
      </c>
      <c r="D254" s="837"/>
      <c r="E254" s="115" t="str">
        <f t="shared" si="87"/>
        <v/>
      </c>
      <c r="F254" s="280" t="str">
        <f t="shared" si="88"/>
        <v/>
      </c>
      <c r="G254" s="116" t="str">
        <f t="shared" si="89"/>
        <v/>
      </c>
      <c r="H254" s="289" t="str">
        <f t="shared" si="90"/>
        <v/>
      </c>
      <c r="I254" s="319" t="str">
        <f t="shared" si="91"/>
        <v/>
      </c>
      <c r="J254" s="291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3" t="str">
        <f t="shared" si="98"/>
        <v/>
      </c>
      <c r="Q254" s="318" t="str">
        <f t="shared" si="99"/>
        <v/>
      </c>
      <c r="R254" s="30"/>
      <c r="S254" s="414">
        <f t="shared" si="100"/>
        <v>0</v>
      </c>
      <c r="T254" s="414">
        <f t="shared" si="101"/>
        <v>0</v>
      </c>
      <c r="U254" s="433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">
      <c r="A255" s="114" t="str">
        <f t="shared" si="84"/>
        <v/>
      </c>
      <c r="B255" s="265" t="str">
        <f t="shared" si="85"/>
        <v/>
      </c>
      <c r="C255" s="843" t="str">
        <f t="shared" si="86"/>
        <v/>
      </c>
      <c r="D255" s="837"/>
      <c r="E255" s="115" t="str">
        <f t="shared" si="87"/>
        <v/>
      </c>
      <c r="F255" s="280" t="str">
        <f t="shared" si="88"/>
        <v/>
      </c>
      <c r="G255" s="116" t="str">
        <f t="shared" si="89"/>
        <v/>
      </c>
      <c r="H255" s="289" t="str">
        <f t="shared" si="90"/>
        <v/>
      </c>
      <c r="I255" s="319" t="str">
        <f t="shared" si="91"/>
        <v/>
      </c>
      <c r="J255" s="291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3" t="str">
        <f t="shared" si="98"/>
        <v/>
      </c>
      <c r="Q255" s="318" t="str">
        <f t="shared" si="99"/>
        <v/>
      </c>
      <c r="R255" s="30"/>
      <c r="S255" s="414">
        <f t="shared" si="100"/>
        <v>0</v>
      </c>
      <c r="T255" s="414">
        <f t="shared" si="101"/>
        <v>0</v>
      </c>
      <c r="U255" s="433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">
      <c r="A256" s="114" t="str">
        <f t="shared" si="84"/>
        <v/>
      </c>
      <c r="B256" s="265" t="str">
        <f t="shared" si="85"/>
        <v/>
      </c>
      <c r="C256" s="843" t="str">
        <f t="shared" si="86"/>
        <v/>
      </c>
      <c r="D256" s="837"/>
      <c r="E256" s="115" t="str">
        <f t="shared" si="87"/>
        <v/>
      </c>
      <c r="F256" s="280" t="str">
        <f t="shared" si="88"/>
        <v/>
      </c>
      <c r="G256" s="116" t="str">
        <f t="shared" si="89"/>
        <v/>
      </c>
      <c r="H256" s="289" t="str">
        <f t="shared" si="90"/>
        <v/>
      </c>
      <c r="I256" s="319" t="str">
        <f t="shared" si="91"/>
        <v/>
      </c>
      <c r="J256" s="291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3" t="str">
        <f t="shared" si="98"/>
        <v/>
      </c>
      <c r="Q256" s="318" t="str">
        <f t="shared" si="99"/>
        <v/>
      </c>
      <c r="R256" s="30"/>
      <c r="S256" s="414">
        <f t="shared" si="100"/>
        <v>0</v>
      </c>
      <c r="T256" s="414">
        <f t="shared" si="101"/>
        <v>0</v>
      </c>
      <c r="U256" s="433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">
      <c r="A257" s="114" t="str">
        <f t="shared" si="84"/>
        <v/>
      </c>
      <c r="B257" s="265" t="str">
        <f t="shared" si="85"/>
        <v/>
      </c>
      <c r="C257" s="843" t="str">
        <f t="shared" si="86"/>
        <v/>
      </c>
      <c r="D257" s="837"/>
      <c r="E257" s="115" t="str">
        <f t="shared" si="87"/>
        <v/>
      </c>
      <c r="F257" s="280" t="str">
        <f t="shared" si="88"/>
        <v/>
      </c>
      <c r="G257" s="116" t="str">
        <f t="shared" si="89"/>
        <v/>
      </c>
      <c r="H257" s="289" t="str">
        <f t="shared" si="90"/>
        <v/>
      </c>
      <c r="I257" s="319" t="str">
        <f t="shared" si="91"/>
        <v/>
      </c>
      <c r="J257" s="291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3" t="str">
        <f t="shared" si="98"/>
        <v/>
      </c>
      <c r="Q257" s="318" t="str">
        <f t="shared" si="99"/>
        <v/>
      </c>
      <c r="R257" s="31"/>
      <c r="S257" s="414">
        <f t="shared" si="100"/>
        <v>0</v>
      </c>
      <c r="T257" s="414">
        <f t="shared" si="101"/>
        <v>0</v>
      </c>
      <c r="U257" s="433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">
      <c r="A258" s="114" t="str">
        <f t="shared" si="84"/>
        <v/>
      </c>
      <c r="B258" s="265" t="str">
        <f t="shared" si="85"/>
        <v/>
      </c>
      <c r="C258" s="843" t="str">
        <f t="shared" si="86"/>
        <v/>
      </c>
      <c r="D258" s="837"/>
      <c r="E258" s="115" t="str">
        <f t="shared" si="87"/>
        <v/>
      </c>
      <c r="F258" s="280" t="str">
        <f t="shared" si="88"/>
        <v/>
      </c>
      <c r="G258" s="116" t="str">
        <f t="shared" si="89"/>
        <v/>
      </c>
      <c r="H258" s="289" t="str">
        <f t="shared" si="90"/>
        <v/>
      </c>
      <c r="I258" s="319" t="str">
        <f t="shared" si="91"/>
        <v/>
      </c>
      <c r="J258" s="291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3" t="str">
        <f t="shared" si="98"/>
        <v/>
      </c>
      <c r="Q258" s="318" t="str">
        <f t="shared" si="99"/>
        <v/>
      </c>
      <c r="R258" s="31"/>
      <c r="S258" s="414">
        <f t="shared" si="100"/>
        <v>0</v>
      </c>
      <c r="T258" s="414">
        <f t="shared" si="101"/>
        <v>0</v>
      </c>
      <c r="U258" s="433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">
      <c r="A259" s="114" t="str">
        <f t="shared" si="84"/>
        <v/>
      </c>
      <c r="B259" s="265" t="str">
        <f t="shared" si="85"/>
        <v/>
      </c>
      <c r="C259" s="843" t="str">
        <f t="shared" si="86"/>
        <v/>
      </c>
      <c r="D259" s="837"/>
      <c r="E259" s="115" t="str">
        <f t="shared" si="87"/>
        <v/>
      </c>
      <c r="F259" s="280" t="str">
        <f t="shared" si="88"/>
        <v/>
      </c>
      <c r="G259" s="116" t="str">
        <f t="shared" si="89"/>
        <v/>
      </c>
      <c r="H259" s="289" t="str">
        <f t="shared" si="90"/>
        <v/>
      </c>
      <c r="I259" s="319" t="str">
        <f t="shared" si="91"/>
        <v/>
      </c>
      <c r="J259" s="291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3" t="str">
        <f t="shared" si="98"/>
        <v/>
      </c>
      <c r="Q259" s="318" t="str">
        <f t="shared" si="99"/>
        <v/>
      </c>
      <c r="R259" s="31"/>
      <c r="S259" s="414">
        <f t="shared" si="100"/>
        <v>0</v>
      </c>
      <c r="T259" s="414">
        <f t="shared" si="101"/>
        <v>0</v>
      </c>
      <c r="U259" s="433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">
      <c r="A260" s="114" t="str">
        <f t="shared" si="84"/>
        <v/>
      </c>
      <c r="B260" s="265" t="str">
        <f t="shared" si="85"/>
        <v/>
      </c>
      <c r="C260" s="843" t="str">
        <f t="shared" si="86"/>
        <v/>
      </c>
      <c r="D260" s="837"/>
      <c r="E260" s="115" t="str">
        <f t="shared" si="87"/>
        <v/>
      </c>
      <c r="F260" s="280" t="str">
        <f t="shared" si="88"/>
        <v/>
      </c>
      <c r="G260" s="116" t="str">
        <f t="shared" si="89"/>
        <v/>
      </c>
      <c r="H260" s="289" t="str">
        <f t="shared" si="90"/>
        <v/>
      </c>
      <c r="I260" s="319" t="str">
        <f t="shared" si="91"/>
        <v/>
      </c>
      <c r="J260" s="291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3" t="str">
        <f t="shared" si="98"/>
        <v/>
      </c>
      <c r="Q260" s="318" t="str">
        <f t="shared" si="99"/>
        <v/>
      </c>
      <c r="R260" s="31"/>
      <c r="S260" s="414">
        <f t="shared" si="100"/>
        <v>0</v>
      </c>
      <c r="T260" s="414">
        <f t="shared" si="101"/>
        <v>0</v>
      </c>
      <c r="U260" s="433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">
      <c r="A261" s="114" t="str">
        <f t="shared" si="84"/>
        <v/>
      </c>
      <c r="B261" s="265" t="str">
        <f t="shared" si="85"/>
        <v/>
      </c>
      <c r="C261" s="843" t="str">
        <f t="shared" si="86"/>
        <v/>
      </c>
      <c r="D261" s="837"/>
      <c r="E261" s="115" t="str">
        <f t="shared" si="87"/>
        <v/>
      </c>
      <c r="F261" s="280" t="str">
        <f t="shared" si="88"/>
        <v/>
      </c>
      <c r="G261" s="116" t="str">
        <f t="shared" si="89"/>
        <v/>
      </c>
      <c r="H261" s="289" t="str">
        <f t="shared" si="90"/>
        <v/>
      </c>
      <c r="I261" s="319" t="str">
        <f t="shared" si="91"/>
        <v/>
      </c>
      <c r="J261" s="291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3" t="str">
        <f t="shared" si="98"/>
        <v/>
      </c>
      <c r="Q261" s="318" t="str">
        <f t="shared" si="99"/>
        <v/>
      </c>
      <c r="R261" s="31"/>
      <c r="S261" s="414">
        <f t="shared" si="100"/>
        <v>0</v>
      </c>
      <c r="T261" s="414">
        <f t="shared" si="101"/>
        <v>0</v>
      </c>
      <c r="U261" s="433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">
      <c r="A262" s="114" t="str">
        <f t="shared" si="84"/>
        <v/>
      </c>
      <c r="B262" s="265" t="str">
        <f t="shared" si="85"/>
        <v/>
      </c>
      <c r="C262" s="843" t="str">
        <f t="shared" si="86"/>
        <v/>
      </c>
      <c r="D262" s="837"/>
      <c r="E262" s="115" t="str">
        <f t="shared" si="87"/>
        <v/>
      </c>
      <c r="F262" s="280" t="str">
        <f t="shared" si="88"/>
        <v/>
      </c>
      <c r="G262" s="116" t="str">
        <f t="shared" si="89"/>
        <v/>
      </c>
      <c r="H262" s="289" t="str">
        <f t="shared" si="90"/>
        <v/>
      </c>
      <c r="I262" s="319" t="str">
        <f t="shared" si="91"/>
        <v/>
      </c>
      <c r="J262" s="291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3" t="str">
        <f t="shared" si="98"/>
        <v/>
      </c>
      <c r="Q262" s="318" t="str">
        <f t="shared" si="99"/>
        <v/>
      </c>
      <c r="R262" s="31"/>
      <c r="S262" s="414">
        <f t="shared" si="100"/>
        <v>0</v>
      </c>
      <c r="T262" s="414">
        <f t="shared" si="101"/>
        <v>0</v>
      </c>
      <c r="U262" s="433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">
      <c r="A263" s="114" t="str">
        <f t="shared" si="84"/>
        <v/>
      </c>
      <c r="B263" s="265" t="str">
        <f t="shared" si="85"/>
        <v/>
      </c>
      <c r="C263" s="843" t="str">
        <f t="shared" si="86"/>
        <v/>
      </c>
      <c r="D263" s="837"/>
      <c r="E263" s="115" t="str">
        <f t="shared" si="87"/>
        <v/>
      </c>
      <c r="F263" s="280" t="str">
        <f t="shared" si="88"/>
        <v/>
      </c>
      <c r="G263" s="116" t="str">
        <f t="shared" si="89"/>
        <v/>
      </c>
      <c r="H263" s="289" t="str">
        <f t="shared" si="90"/>
        <v/>
      </c>
      <c r="I263" s="319" t="str">
        <f t="shared" si="91"/>
        <v/>
      </c>
      <c r="J263" s="291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3" t="str">
        <f t="shared" si="98"/>
        <v/>
      </c>
      <c r="Q263" s="318" t="str">
        <f t="shared" si="99"/>
        <v/>
      </c>
      <c r="R263" s="31"/>
      <c r="S263" s="414">
        <f t="shared" si="100"/>
        <v>0</v>
      </c>
      <c r="T263" s="414">
        <f t="shared" si="101"/>
        <v>0</v>
      </c>
      <c r="U263" s="433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">
      <c r="A264" s="114" t="str">
        <f t="shared" si="84"/>
        <v/>
      </c>
      <c r="B264" s="265" t="str">
        <f t="shared" si="85"/>
        <v/>
      </c>
      <c r="C264" s="843" t="str">
        <f t="shared" si="86"/>
        <v/>
      </c>
      <c r="D264" s="837"/>
      <c r="E264" s="115" t="str">
        <f t="shared" si="87"/>
        <v/>
      </c>
      <c r="F264" s="280" t="str">
        <f t="shared" si="88"/>
        <v/>
      </c>
      <c r="G264" s="116" t="str">
        <f t="shared" si="89"/>
        <v/>
      </c>
      <c r="H264" s="289" t="str">
        <f t="shared" si="90"/>
        <v/>
      </c>
      <c r="I264" s="319" t="str">
        <f t="shared" si="91"/>
        <v/>
      </c>
      <c r="J264" s="291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3" t="str">
        <f t="shared" si="98"/>
        <v/>
      </c>
      <c r="Q264" s="318" t="str">
        <f t="shared" si="99"/>
        <v/>
      </c>
      <c r="R264" s="31"/>
      <c r="S264" s="414">
        <f t="shared" si="100"/>
        <v>0</v>
      </c>
      <c r="T264" s="414">
        <f t="shared" si="101"/>
        <v>0</v>
      </c>
      <c r="U264" s="433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">
      <c r="A265" s="114" t="str">
        <f t="shared" si="84"/>
        <v/>
      </c>
      <c r="B265" s="265" t="str">
        <f t="shared" si="85"/>
        <v/>
      </c>
      <c r="C265" s="843" t="str">
        <f t="shared" si="86"/>
        <v/>
      </c>
      <c r="D265" s="837"/>
      <c r="E265" s="115" t="str">
        <f t="shared" si="87"/>
        <v/>
      </c>
      <c r="F265" s="280" t="str">
        <f t="shared" si="88"/>
        <v/>
      </c>
      <c r="G265" s="116" t="str">
        <f t="shared" si="89"/>
        <v/>
      </c>
      <c r="H265" s="289" t="str">
        <f t="shared" si="90"/>
        <v/>
      </c>
      <c r="I265" s="319" t="str">
        <f t="shared" si="91"/>
        <v/>
      </c>
      <c r="J265" s="291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3" t="str">
        <f t="shared" si="98"/>
        <v/>
      </c>
      <c r="Q265" s="318" t="str">
        <f t="shared" si="99"/>
        <v/>
      </c>
      <c r="R265" s="31"/>
      <c r="S265" s="414">
        <f t="shared" si="100"/>
        <v>0</v>
      </c>
      <c r="T265" s="414">
        <f t="shared" si="101"/>
        <v>0</v>
      </c>
      <c r="U265" s="433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">
      <c r="A266" s="114" t="str">
        <f t="shared" si="84"/>
        <v/>
      </c>
      <c r="B266" s="265" t="str">
        <f t="shared" si="85"/>
        <v/>
      </c>
      <c r="C266" s="843" t="str">
        <f t="shared" si="86"/>
        <v/>
      </c>
      <c r="D266" s="837"/>
      <c r="E266" s="115" t="str">
        <f t="shared" si="87"/>
        <v/>
      </c>
      <c r="F266" s="280" t="str">
        <f t="shared" si="88"/>
        <v/>
      </c>
      <c r="G266" s="116" t="str">
        <f t="shared" si="89"/>
        <v/>
      </c>
      <c r="H266" s="289" t="str">
        <f t="shared" si="90"/>
        <v/>
      </c>
      <c r="I266" s="319" t="str">
        <f t="shared" si="91"/>
        <v/>
      </c>
      <c r="J266" s="291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3" t="str">
        <f t="shared" si="98"/>
        <v/>
      </c>
      <c r="Q266" s="318" t="str">
        <f t="shared" si="99"/>
        <v/>
      </c>
      <c r="R266" s="31"/>
      <c r="S266" s="414">
        <f t="shared" si="100"/>
        <v>0</v>
      </c>
      <c r="T266" s="414">
        <f t="shared" si="101"/>
        <v>0</v>
      </c>
      <c r="U266" s="433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">
      <c r="A267" s="114" t="str">
        <f t="shared" si="84"/>
        <v/>
      </c>
      <c r="B267" s="265" t="str">
        <f t="shared" si="85"/>
        <v/>
      </c>
      <c r="C267" s="843" t="str">
        <f t="shared" si="86"/>
        <v/>
      </c>
      <c r="D267" s="837"/>
      <c r="E267" s="115" t="str">
        <f t="shared" si="87"/>
        <v/>
      </c>
      <c r="F267" s="280" t="str">
        <f t="shared" si="88"/>
        <v/>
      </c>
      <c r="G267" s="116" t="str">
        <f t="shared" si="89"/>
        <v/>
      </c>
      <c r="H267" s="289" t="str">
        <f t="shared" si="90"/>
        <v/>
      </c>
      <c r="I267" s="319" t="str">
        <f t="shared" si="91"/>
        <v/>
      </c>
      <c r="J267" s="291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3" t="str">
        <f t="shared" si="98"/>
        <v/>
      </c>
      <c r="Q267" s="318" t="str">
        <f t="shared" si="99"/>
        <v/>
      </c>
      <c r="R267" s="31"/>
      <c r="S267" s="414">
        <f t="shared" si="100"/>
        <v>0</v>
      </c>
      <c r="T267" s="414">
        <f t="shared" si="101"/>
        <v>0</v>
      </c>
      <c r="U267" s="433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">
      <c r="A268" s="114" t="str">
        <f t="shared" si="84"/>
        <v/>
      </c>
      <c r="B268" s="265" t="str">
        <f t="shared" si="85"/>
        <v/>
      </c>
      <c r="C268" s="843" t="str">
        <f t="shared" si="86"/>
        <v/>
      </c>
      <c r="D268" s="837"/>
      <c r="E268" s="115" t="str">
        <f t="shared" si="87"/>
        <v/>
      </c>
      <c r="F268" s="280" t="str">
        <f t="shared" si="88"/>
        <v/>
      </c>
      <c r="G268" s="116" t="str">
        <f t="shared" si="89"/>
        <v/>
      </c>
      <c r="H268" s="289" t="str">
        <f t="shared" si="90"/>
        <v/>
      </c>
      <c r="I268" s="319" t="str">
        <f t="shared" si="91"/>
        <v/>
      </c>
      <c r="J268" s="291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3" t="str">
        <f t="shared" si="98"/>
        <v/>
      </c>
      <c r="Q268" s="318" t="str">
        <f t="shared" si="99"/>
        <v/>
      </c>
      <c r="R268" s="31"/>
      <c r="S268" s="414">
        <f t="shared" si="100"/>
        <v>0</v>
      </c>
      <c r="T268" s="414">
        <f t="shared" si="101"/>
        <v>0</v>
      </c>
      <c r="U268" s="433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">
      <c r="A269" s="114" t="str">
        <f t="shared" si="84"/>
        <v/>
      </c>
      <c r="B269" s="265" t="str">
        <f t="shared" si="85"/>
        <v/>
      </c>
      <c r="C269" s="843" t="str">
        <f t="shared" si="86"/>
        <v/>
      </c>
      <c r="D269" s="837"/>
      <c r="E269" s="115" t="str">
        <f t="shared" si="87"/>
        <v/>
      </c>
      <c r="F269" s="280" t="str">
        <f t="shared" si="88"/>
        <v/>
      </c>
      <c r="G269" s="116" t="str">
        <f t="shared" si="89"/>
        <v/>
      </c>
      <c r="H269" s="289" t="str">
        <f t="shared" si="90"/>
        <v/>
      </c>
      <c r="I269" s="319" t="str">
        <f t="shared" si="91"/>
        <v/>
      </c>
      <c r="J269" s="291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3" t="str">
        <f t="shared" si="98"/>
        <v/>
      </c>
      <c r="Q269" s="318" t="str">
        <f t="shared" si="99"/>
        <v/>
      </c>
      <c r="R269" s="31"/>
      <c r="S269" s="414">
        <f t="shared" si="100"/>
        <v>0</v>
      </c>
      <c r="T269" s="414">
        <f t="shared" si="101"/>
        <v>0</v>
      </c>
      <c r="U269" s="433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">
      <c r="A270" s="114" t="str">
        <f t="shared" si="84"/>
        <v/>
      </c>
      <c r="B270" s="265" t="str">
        <f t="shared" si="85"/>
        <v/>
      </c>
      <c r="C270" s="843" t="str">
        <f t="shared" si="86"/>
        <v/>
      </c>
      <c r="D270" s="837"/>
      <c r="E270" s="115" t="str">
        <f t="shared" si="87"/>
        <v/>
      </c>
      <c r="F270" s="280" t="str">
        <f t="shared" si="88"/>
        <v/>
      </c>
      <c r="G270" s="116" t="str">
        <f t="shared" si="89"/>
        <v/>
      </c>
      <c r="H270" s="289" t="str">
        <f t="shared" si="90"/>
        <v/>
      </c>
      <c r="I270" s="319" t="str">
        <f t="shared" si="91"/>
        <v/>
      </c>
      <c r="J270" s="291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3" t="str">
        <f t="shared" si="98"/>
        <v/>
      </c>
      <c r="Q270" s="318" t="str">
        <f t="shared" si="99"/>
        <v/>
      </c>
      <c r="R270" s="31"/>
      <c r="S270" s="414">
        <f t="shared" si="100"/>
        <v>0</v>
      </c>
      <c r="T270" s="414">
        <f t="shared" si="101"/>
        <v>0</v>
      </c>
      <c r="U270" s="433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">
      <c r="A271" s="114" t="str">
        <f t="shared" si="84"/>
        <v/>
      </c>
      <c r="B271" s="265" t="str">
        <f t="shared" si="85"/>
        <v/>
      </c>
      <c r="C271" s="843" t="str">
        <f t="shared" si="86"/>
        <v/>
      </c>
      <c r="D271" s="837"/>
      <c r="E271" s="115" t="str">
        <f t="shared" si="87"/>
        <v/>
      </c>
      <c r="F271" s="280" t="str">
        <f t="shared" si="88"/>
        <v/>
      </c>
      <c r="G271" s="116" t="str">
        <f t="shared" si="89"/>
        <v/>
      </c>
      <c r="H271" s="289" t="str">
        <f t="shared" si="90"/>
        <v/>
      </c>
      <c r="I271" s="319" t="str">
        <f t="shared" si="91"/>
        <v/>
      </c>
      <c r="J271" s="291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3" t="str">
        <f t="shared" si="98"/>
        <v/>
      </c>
      <c r="Q271" s="318" t="str">
        <f t="shared" si="99"/>
        <v/>
      </c>
      <c r="R271" s="31"/>
      <c r="S271" s="414">
        <f t="shared" si="100"/>
        <v>0</v>
      </c>
      <c r="T271" s="414">
        <f t="shared" si="101"/>
        <v>0</v>
      </c>
      <c r="U271" s="433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">
      <c r="A272" s="114" t="str">
        <f t="shared" si="84"/>
        <v/>
      </c>
      <c r="B272" s="265" t="str">
        <f t="shared" si="85"/>
        <v/>
      </c>
      <c r="C272" s="843" t="str">
        <f t="shared" si="86"/>
        <v/>
      </c>
      <c r="D272" s="837"/>
      <c r="E272" s="115" t="str">
        <f t="shared" si="87"/>
        <v/>
      </c>
      <c r="F272" s="280" t="str">
        <f t="shared" si="88"/>
        <v/>
      </c>
      <c r="G272" s="116" t="str">
        <f t="shared" si="89"/>
        <v/>
      </c>
      <c r="H272" s="289" t="str">
        <f t="shared" si="90"/>
        <v/>
      </c>
      <c r="I272" s="319" t="str">
        <f t="shared" si="91"/>
        <v/>
      </c>
      <c r="J272" s="291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3" t="str">
        <f t="shared" si="98"/>
        <v/>
      </c>
      <c r="Q272" s="318" t="str">
        <f t="shared" si="99"/>
        <v/>
      </c>
      <c r="R272" s="31"/>
      <c r="S272" s="414">
        <f t="shared" si="100"/>
        <v>0</v>
      </c>
      <c r="T272" s="414">
        <f t="shared" si="101"/>
        <v>0</v>
      </c>
      <c r="U272" s="433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">
      <c r="A273" s="114" t="str">
        <f t="shared" si="84"/>
        <v/>
      </c>
      <c r="B273" s="265" t="str">
        <f t="shared" si="85"/>
        <v/>
      </c>
      <c r="C273" s="843" t="str">
        <f t="shared" si="86"/>
        <v/>
      </c>
      <c r="D273" s="837"/>
      <c r="E273" s="115" t="str">
        <f t="shared" si="87"/>
        <v/>
      </c>
      <c r="F273" s="280" t="str">
        <f t="shared" si="88"/>
        <v/>
      </c>
      <c r="G273" s="116" t="str">
        <f t="shared" si="89"/>
        <v/>
      </c>
      <c r="H273" s="289" t="str">
        <f t="shared" si="90"/>
        <v/>
      </c>
      <c r="I273" s="319" t="str">
        <f t="shared" si="91"/>
        <v/>
      </c>
      <c r="J273" s="291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3" t="str">
        <f t="shared" si="98"/>
        <v/>
      </c>
      <c r="Q273" s="318" t="str">
        <f t="shared" si="99"/>
        <v/>
      </c>
      <c r="R273" s="31"/>
      <c r="S273" s="414">
        <f t="shared" si="100"/>
        <v>0</v>
      </c>
      <c r="T273" s="414">
        <f t="shared" si="101"/>
        <v>0</v>
      </c>
      <c r="U273" s="433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">
      <c r="A274" s="114" t="str">
        <f t="shared" si="84"/>
        <v/>
      </c>
      <c r="B274" s="265" t="str">
        <f t="shared" si="85"/>
        <v/>
      </c>
      <c r="C274" s="843" t="str">
        <f t="shared" si="86"/>
        <v/>
      </c>
      <c r="D274" s="837"/>
      <c r="E274" s="115" t="str">
        <f t="shared" si="87"/>
        <v/>
      </c>
      <c r="F274" s="280" t="str">
        <f t="shared" si="88"/>
        <v/>
      </c>
      <c r="G274" s="116" t="str">
        <f t="shared" si="89"/>
        <v/>
      </c>
      <c r="H274" s="289" t="str">
        <f t="shared" si="90"/>
        <v/>
      </c>
      <c r="I274" s="319" t="str">
        <f t="shared" si="91"/>
        <v/>
      </c>
      <c r="J274" s="291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3" t="str">
        <f t="shared" si="98"/>
        <v/>
      </c>
      <c r="Q274" s="318" t="str">
        <f t="shared" si="99"/>
        <v/>
      </c>
      <c r="R274" s="31"/>
      <c r="S274" s="414">
        <f t="shared" si="100"/>
        <v>0</v>
      </c>
      <c r="T274" s="414">
        <f t="shared" si="101"/>
        <v>0</v>
      </c>
      <c r="U274" s="433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">
      <c r="A275" s="114" t="str">
        <f t="shared" si="84"/>
        <v/>
      </c>
      <c r="B275" s="265" t="str">
        <f t="shared" si="85"/>
        <v/>
      </c>
      <c r="C275" s="843" t="str">
        <f t="shared" si="86"/>
        <v/>
      </c>
      <c r="D275" s="837"/>
      <c r="E275" s="115" t="str">
        <f t="shared" si="87"/>
        <v/>
      </c>
      <c r="F275" s="280" t="str">
        <f t="shared" si="88"/>
        <v/>
      </c>
      <c r="G275" s="116" t="str">
        <f t="shared" si="89"/>
        <v/>
      </c>
      <c r="H275" s="289" t="str">
        <f t="shared" si="90"/>
        <v/>
      </c>
      <c r="I275" s="319" t="str">
        <f t="shared" si="91"/>
        <v/>
      </c>
      <c r="J275" s="291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3" t="str">
        <f t="shared" si="98"/>
        <v/>
      </c>
      <c r="Q275" s="318" t="str">
        <f t="shared" si="99"/>
        <v/>
      </c>
      <c r="R275" s="31"/>
      <c r="S275" s="414">
        <f t="shared" si="100"/>
        <v>0</v>
      </c>
      <c r="T275" s="414">
        <f t="shared" si="101"/>
        <v>0</v>
      </c>
      <c r="U275" s="433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">
      <c r="A276" s="114" t="str">
        <f t="shared" si="84"/>
        <v/>
      </c>
      <c r="B276" s="265" t="str">
        <f t="shared" si="85"/>
        <v/>
      </c>
      <c r="C276" s="843" t="str">
        <f t="shared" si="86"/>
        <v/>
      </c>
      <c r="D276" s="837"/>
      <c r="E276" s="115" t="str">
        <f t="shared" si="87"/>
        <v/>
      </c>
      <c r="F276" s="280" t="str">
        <f t="shared" si="88"/>
        <v/>
      </c>
      <c r="G276" s="116" t="str">
        <f t="shared" si="89"/>
        <v/>
      </c>
      <c r="H276" s="289" t="str">
        <f t="shared" si="90"/>
        <v/>
      </c>
      <c r="I276" s="319" t="str">
        <f t="shared" si="91"/>
        <v/>
      </c>
      <c r="J276" s="291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3" t="str">
        <f t="shared" si="98"/>
        <v/>
      </c>
      <c r="Q276" s="318" t="str">
        <f t="shared" si="99"/>
        <v/>
      </c>
      <c r="R276" s="31"/>
      <c r="S276" s="414">
        <f t="shared" si="100"/>
        <v>0</v>
      </c>
      <c r="T276" s="414">
        <f t="shared" si="101"/>
        <v>0</v>
      </c>
      <c r="U276" s="433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">
      <c r="A277" s="114" t="str">
        <f t="shared" si="84"/>
        <v/>
      </c>
      <c r="B277" s="265" t="str">
        <f t="shared" si="85"/>
        <v/>
      </c>
      <c r="C277" s="843" t="str">
        <f t="shared" si="86"/>
        <v/>
      </c>
      <c r="D277" s="837"/>
      <c r="E277" s="115" t="str">
        <f t="shared" si="87"/>
        <v/>
      </c>
      <c r="F277" s="280" t="str">
        <f t="shared" si="88"/>
        <v/>
      </c>
      <c r="G277" s="116" t="str">
        <f t="shared" si="89"/>
        <v/>
      </c>
      <c r="H277" s="289" t="str">
        <f t="shared" si="90"/>
        <v/>
      </c>
      <c r="I277" s="319" t="str">
        <f t="shared" si="91"/>
        <v/>
      </c>
      <c r="J277" s="291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3" t="str">
        <f t="shared" si="98"/>
        <v/>
      </c>
      <c r="Q277" s="318" t="str">
        <f t="shared" si="99"/>
        <v/>
      </c>
      <c r="R277" s="31"/>
      <c r="S277" s="414">
        <f t="shared" si="100"/>
        <v>0</v>
      </c>
      <c r="T277" s="414">
        <f t="shared" si="101"/>
        <v>0</v>
      </c>
      <c r="U277" s="433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">
      <c r="A278" s="114" t="str">
        <f t="shared" si="84"/>
        <v/>
      </c>
      <c r="B278" s="265" t="str">
        <f t="shared" si="85"/>
        <v/>
      </c>
      <c r="C278" s="843" t="str">
        <f t="shared" si="86"/>
        <v/>
      </c>
      <c r="D278" s="837"/>
      <c r="E278" s="115" t="str">
        <f t="shared" si="87"/>
        <v/>
      </c>
      <c r="F278" s="280" t="str">
        <f t="shared" si="88"/>
        <v/>
      </c>
      <c r="G278" s="116" t="str">
        <f t="shared" si="89"/>
        <v/>
      </c>
      <c r="H278" s="289" t="str">
        <f t="shared" si="90"/>
        <v/>
      </c>
      <c r="I278" s="319" t="str">
        <f t="shared" si="91"/>
        <v/>
      </c>
      <c r="J278" s="291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3" t="str">
        <f t="shared" si="98"/>
        <v/>
      </c>
      <c r="Q278" s="318" t="str">
        <f t="shared" si="99"/>
        <v/>
      </c>
      <c r="R278" s="31"/>
      <c r="S278" s="414">
        <f t="shared" si="100"/>
        <v>0</v>
      </c>
      <c r="T278" s="414">
        <f t="shared" si="101"/>
        <v>0</v>
      </c>
      <c r="U278" s="433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">
      <c r="A279" s="114" t="str">
        <f t="shared" si="84"/>
        <v/>
      </c>
      <c r="B279" s="265" t="str">
        <f t="shared" si="85"/>
        <v/>
      </c>
      <c r="C279" s="843" t="str">
        <f t="shared" si="86"/>
        <v/>
      </c>
      <c r="D279" s="837"/>
      <c r="E279" s="115" t="str">
        <f t="shared" si="87"/>
        <v/>
      </c>
      <c r="F279" s="280" t="str">
        <f t="shared" si="88"/>
        <v/>
      </c>
      <c r="G279" s="116" t="str">
        <f t="shared" si="89"/>
        <v/>
      </c>
      <c r="H279" s="289" t="str">
        <f t="shared" si="90"/>
        <v/>
      </c>
      <c r="I279" s="319" t="str">
        <f t="shared" si="91"/>
        <v/>
      </c>
      <c r="J279" s="291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3" t="str">
        <f t="shared" si="98"/>
        <v/>
      </c>
      <c r="Q279" s="318" t="str">
        <f t="shared" si="99"/>
        <v/>
      </c>
      <c r="R279" s="31"/>
      <c r="S279" s="414">
        <f t="shared" si="100"/>
        <v>0</v>
      </c>
      <c r="T279" s="414">
        <f t="shared" si="101"/>
        <v>0</v>
      </c>
      <c r="U279" s="433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">
      <c r="A280" s="114" t="str">
        <f t="shared" si="84"/>
        <v/>
      </c>
      <c r="B280" s="265" t="str">
        <f t="shared" si="85"/>
        <v/>
      </c>
      <c r="C280" s="843" t="str">
        <f t="shared" si="86"/>
        <v/>
      </c>
      <c r="D280" s="837"/>
      <c r="E280" s="115" t="str">
        <f t="shared" si="87"/>
        <v/>
      </c>
      <c r="F280" s="280" t="str">
        <f t="shared" si="88"/>
        <v/>
      </c>
      <c r="G280" s="116" t="str">
        <f t="shared" si="89"/>
        <v/>
      </c>
      <c r="H280" s="289" t="str">
        <f t="shared" si="90"/>
        <v/>
      </c>
      <c r="I280" s="319" t="str">
        <f t="shared" si="91"/>
        <v/>
      </c>
      <c r="J280" s="291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3" t="str">
        <f t="shared" si="98"/>
        <v/>
      </c>
      <c r="Q280" s="318" t="str">
        <f t="shared" si="99"/>
        <v/>
      </c>
      <c r="R280" s="31"/>
      <c r="S280" s="414">
        <f t="shared" si="100"/>
        <v>0</v>
      </c>
      <c r="T280" s="414">
        <f t="shared" si="101"/>
        <v>0</v>
      </c>
      <c r="U280" s="433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">
      <c r="A281" s="114" t="str">
        <f t="shared" si="84"/>
        <v/>
      </c>
      <c r="B281" s="265" t="str">
        <f t="shared" si="85"/>
        <v/>
      </c>
      <c r="C281" s="843" t="str">
        <f t="shared" si="86"/>
        <v/>
      </c>
      <c r="D281" s="837"/>
      <c r="E281" s="115" t="str">
        <f t="shared" si="87"/>
        <v/>
      </c>
      <c r="F281" s="280" t="str">
        <f t="shared" si="88"/>
        <v/>
      </c>
      <c r="G281" s="116" t="str">
        <f t="shared" si="89"/>
        <v/>
      </c>
      <c r="H281" s="289" t="str">
        <f t="shared" si="90"/>
        <v/>
      </c>
      <c r="I281" s="319" t="str">
        <f t="shared" si="91"/>
        <v/>
      </c>
      <c r="J281" s="291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3" t="str">
        <f t="shared" si="98"/>
        <v/>
      </c>
      <c r="Q281" s="318" t="str">
        <f t="shared" si="99"/>
        <v/>
      </c>
      <c r="R281" s="31"/>
      <c r="S281" s="414">
        <f t="shared" si="100"/>
        <v>0</v>
      </c>
      <c r="T281" s="414">
        <f t="shared" si="101"/>
        <v>0</v>
      </c>
      <c r="U281" s="433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">
      <c r="A282" s="114" t="str">
        <f t="shared" si="84"/>
        <v/>
      </c>
      <c r="B282" s="265" t="str">
        <f t="shared" si="85"/>
        <v/>
      </c>
      <c r="C282" s="843" t="str">
        <f t="shared" si="86"/>
        <v/>
      </c>
      <c r="D282" s="837"/>
      <c r="E282" s="115" t="str">
        <f t="shared" si="87"/>
        <v/>
      </c>
      <c r="F282" s="280" t="str">
        <f t="shared" si="88"/>
        <v/>
      </c>
      <c r="G282" s="116" t="str">
        <f t="shared" si="89"/>
        <v/>
      </c>
      <c r="H282" s="289" t="str">
        <f t="shared" si="90"/>
        <v/>
      </c>
      <c r="I282" s="319" t="str">
        <f t="shared" si="91"/>
        <v/>
      </c>
      <c r="J282" s="291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3" t="str">
        <f t="shared" si="98"/>
        <v/>
      </c>
      <c r="Q282" s="318" t="str">
        <f t="shared" si="99"/>
        <v/>
      </c>
      <c r="R282" s="31"/>
      <c r="S282" s="414">
        <f t="shared" si="100"/>
        <v>0</v>
      </c>
      <c r="T282" s="414">
        <f t="shared" si="101"/>
        <v>0</v>
      </c>
      <c r="U282" s="433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">
      <c r="A283" s="122" t="s">
        <v>50</v>
      </c>
      <c r="B283" s="253"/>
      <c r="C283" s="839">
        <f>SUM(C243:C282)</f>
        <v>0</v>
      </c>
      <c r="D283" s="840"/>
      <c r="E283" s="117">
        <f>SUM(E243:E282)</f>
        <v>0</v>
      </c>
      <c r="F283" s="261"/>
      <c r="G283" s="123">
        <f t="shared" ref="G283" si="104">C283+E283</f>
        <v>0</v>
      </c>
      <c r="H283" s="124"/>
      <c r="I283" s="320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20">
        <f>SUM(S243:S282)</f>
        <v>0</v>
      </c>
      <c r="T283" s="420">
        <f>SUM(T243:T282)</f>
        <v>0</v>
      </c>
      <c r="U283" s="432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">
      <c r="A286" s="848" t="s">
        <v>0</v>
      </c>
      <c r="B286" s="849"/>
      <c r="C286" s="849"/>
      <c r="D286" s="849"/>
      <c r="E286" s="849"/>
      <c r="F286" s="849"/>
      <c r="G286" s="849"/>
      <c r="H286" s="849"/>
      <c r="I286" s="849"/>
      <c r="J286" s="849"/>
      <c r="K286" s="849"/>
      <c r="L286" s="849"/>
      <c r="M286" s="849"/>
      <c r="N286" s="849"/>
      <c r="O286" s="849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">
      <c r="A287" s="848" t="s">
        <v>154</v>
      </c>
      <c r="B287" s="849"/>
      <c r="C287" s="849"/>
      <c r="D287" s="849"/>
      <c r="E287" s="849"/>
      <c r="F287" s="849"/>
      <c r="G287" s="849"/>
      <c r="H287" s="849"/>
      <c r="I287" s="849"/>
      <c r="J287" s="849"/>
      <c r="K287" s="849"/>
      <c r="L287" s="849"/>
      <c r="M287" s="849"/>
      <c r="N287" s="849"/>
      <c r="O287" s="849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">
      <c r="A289" s="31"/>
      <c r="B289" s="87"/>
      <c r="C289" s="87" t="s">
        <v>6</v>
      </c>
      <c r="D289" s="87"/>
      <c r="E289" s="31"/>
      <c r="F289" s="31"/>
      <c r="G289" s="819" t="str">
        <f>IF(totalyrs&gt;9,IF(E5=0,"",E5),"")</f>
        <v/>
      </c>
      <c r="H289" s="819"/>
      <c r="I289" s="819"/>
      <c r="J289" s="819"/>
      <c r="K289" s="819"/>
      <c r="L289" s="819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">
      <c r="A290" s="31"/>
      <c r="B290" s="87"/>
      <c r="C290" s="87" t="s">
        <v>8</v>
      </c>
      <c r="D290" s="87"/>
      <c r="E290" s="31"/>
      <c r="F290" s="31"/>
      <c r="G290" s="819" t="str">
        <f>IF(totalyrs&gt;9,IF(E6=0,"",E6),"")</f>
        <v/>
      </c>
      <c r="H290" s="819"/>
      <c r="I290" s="819"/>
      <c r="J290" s="819"/>
      <c r="K290" s="819"/>
      <c r="L290" s="819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">
      <c r="A291" s="31"/>
      <c r="B291" s="87"/>
      <c r="C291" s="87" t="s">
        <v>122</v>
      </c>
      <c r="D291" s="87"/>
      <c r="E291" s="31"/>
      <c r="F291" s="31"/>
      <c r="G291" s="819" t="str">
        <f>IF(totalyrs&gt;9,IF(E7=0,"",E7),"")</f>
        <v/>
      </c>
      <c r="H291" s="819"/>
      <c r="I291" s="819"/>
      <c r="J291" s="819"/>
      <c r="K291" s="819"/>
      <c r="L291" s="81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">
      <c r="A292" s="31"/>
      <c r="B292" s="87"/>
      <c r="C292" s="87" t="s">
        <v>10</v>
      </c>
      <c r="D292" s="87"/>
      <c r="E292" s="31"/>
      <c r="F292" s="31"/>
      <c r="G292" s="819" t="str">
        <f>IF(totalyrs&gt;9,IF(E8=0,"",E8),"")</f>
        <v/>
      </c>
      <c r="H292" s="819"/>
      <c r="I292" s="819"/>
      <c r="J292" s="819"/>
      <c r="K292" s="819"/>
      <c r="L292" s="81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15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x14ac:dyDescent="0.2">
      <c r="A294" s="100"/>
      <c r="B294" s="306" t="s">
        <v>208</v>
      </c>
      <c r="C294" s="850" t="s">
        <v>155</v>
      </c>
      <c r="D294" s="851"/>
      <c r="E294" s="852"/>
      <c r="F294" s="852"/>
      <c r="G294" s="852"/>
      <c r="H294" s="104" t="s">
        <v>233</v>
      </c>
      <c r="I294" s="316" t="s">
        <v>28</v>
      </c>
      <c r="J294" s="30"/>
      <c r="K294" s="30"/>
      <c r="L294" s="30"/>
      <c r="M294" s="30"/>
      <c r="N294" s="30"/>
      <c r="O294" s="30"/>
      <c r="P294" s="30"/>
      <c r="Q294" s="30"/>
      <c r="S294" s="416" t="s">
        <v>272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x14ac:dyDescent="0.2">
      <c r="A295" s="301" t="s">
        <v>223</v>
      </c>
      <c r="B295" s="302" t="s">
        <v>131</v>
      </c>
      <c r="C295" s="844" t="s">
        <v>29</v>
      </c>
      <c r="D295" s="845"/>
      <c r="E295" s="300"/>
      <c r="F295" s="300" t="s">
        <v>225</v>
      </c>
      <c r="G295" s="296"/>
      <c r="H295" s="107" t="s">
        <v>110</v>
      </c>
      <c r="I295" s="316" t="s">
        <v>132</v>
      </c>
      <c r="J295" s="30"/>
      <c r="K295" s="30"/>
      <c r="L295" s="30"/>
      <c r="M295" s="30"/>
      <c r="N295" s="30"/>
      <c r="O295" s="30"/>
      <c r="P295" s="30"/>
      <c r="Q295" s="30"/>
      <c r="S295" s="416" t="s">
        <v>312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x14ac:dyDescent="0.2">
      <c r="A296" s="303" t="s">
        <v>222</v>
      </c>
      <c r="B296" s="305" t="s">
        <v>221</v>
      </c>
      <c r="C296" s="846" t="s">
        <v>34</v>
      </c>
      <c r="D296" s="847"/>
      <c r="E296" s="297" t="s">
        <v>30</v>
      </c>
      <c r="F296" s="297" t="s">
        <v>226</v>
      </c>
      <c r="G296" s="297" t="s">
        <v>24</v>
      </c>
      <c r="H296" s="287" t="s">
        <v>33</v>
      </c>
      <c r="I296" s="317" t="s">
        <v>155</v>
      </c>
      <c r="J296" s="30"/>
      <c r="K296" s="30"/>
      <c r="L296" s="30"/>
      <c r="M296" s="30"/>
      <c r="N296" s="30"/>
      <c r="O296" s="30"/>
      <c r="P296" s="30"/>
      <c r="Q296" s="30"/>
      <c r="S296" s="417" t="s">
        <v>297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36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37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1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14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">
      <c r="A298" s="114" t="str">
        <f t="shared" si="106"/>
        <v/>
      </c>
      <c r="B298" s="130" t="str">
        <f t="shared" si="107"/>
        <v/>
      </c>
      <c r="C298" s="836" t="str">
        <f t="shared" si="108"/>
        <v/>
      </c>
      <c r="D298" s="837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1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14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37"/>
      <c r="X298" s="537"/>
      <c r="Y298" s="537"/>
      <c r="Z298" s="537"/>
      <c r="AA298" s="537"/>
      <c r="AB298" s="132"/>
      <c r="AC298" s="132"/>
      <c r="AD298" s="132"/>
      <c r="AK298" s="31"/>
    </row>
    <row r="299" spans="1:37" x14ac:dyDescent="0.2">
      <c r="A299" s="114" t="str">
        <f t="shared" si="106"/>
        <v/>
      </c>
      <c r="B299" s="130" t="str">
        <f t="shared" si="107"/>
        <v/>
      </c>
      <c r="C299" s="836" t="str">
        <f t="shared" si="108"/>
        <v/>
      </c>
      <c r="D299" s="837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1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14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">
      <c r="A300" s="114" t="str">
        <f t="shared" si="106"/>
        <v/>
      </c>
      <c r="B300" s="130" t="str">
        <f t="shared" si="107"/>
        <v/>
      </c>
      <c r="C300" s="836" t="str">
        <f t="shared" si="108"/>
        <v/>
      </c>
      <c r="D300" s="837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1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14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">
      <c r="A301" s="114" t="str">
        <f t="shared" ref="A301:A307" si="115">IF(totalyrs&gt;9,IF(A28=0,"",A28),"")</f>
        <v/>
      </c>
      <c r="B301" s="130" t="str">
        <f t="shared" si="107"/>
        <v/>
      </c>
      <c r="C301" s="836" t="str">
        <f t="shared" si="108"/>
        <v/>
      </c>
      <c r="D301" s="837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1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14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">
      <c r="A302" s="114" t="str">
        <f t="shared" si="115"/>
        <v/>
      </c>
      <c r="B302" s="130" t="str">
        <f t="shared" si="107"/>
        <v/>
      </c>
      <c r="C302" s="836" t="str">
        <f t="shared" si="108"/>
        <v/>
      </c>
      <c r="D302" s="837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1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14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">
      <c r="A303" s="114" t="str">
        <f t="shared" si="115"/>
        <v/>
      </c>
      <c r="B303" s="130" t="str">
        <f t="shared" si="107"/>
        <v/>
      </c>
      <c r="C303" s="836" t="str">
        <f t="shared" si="108"/>
        <v/>
      </c>
      <c r="D303" s="837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1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14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">
      <c r="A304" s="114" t="str">
        <f t="shared" si="115"/>
        <v/>
      </c>
      <c r="B304" s="130" t="str">
        <f t="shared" si="107"/>
        <v/>
      </c>
      <c r="C304" s="836" t="str">
        <f t="shared" si="108"/>
        <v/>
      </c>
      <c r="D304" s="837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1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14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">
      <c r="A305" s="114" t="str">
        <f t="shared" si="115"/>
        <v/>
      </c>
      <c r="B305" s="130" t="str">
        <f t="shared" si="107"/>
        <v/>
      </c>
      <c r="C305" s="836" t="str">
        <f t="shared" si="108"/>
        <v/>
      </c>
      <c r="D305" s="837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1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14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">
      <c r="A306" s="114" t="str">
        <f t="shared" si="115"/>
        <v/>
      </c>
      <c r="B306" s="130" t="str">
        <f t="shared" si="107"/>
        <v/>
      </c>
      <c r="C306" s="836" t="str">
        <f t="shared" si="108"/>
        <v/>
      </c>
      <c r="D306" s="837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1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14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">
      <c r="A307" s="114" t="str">
        <f t="shared" si="115"/>
        <v/>
      </c>
      <c r="B307" s="130" t="str">
        <f t="shared" si="107"/>
        <v/>
      </c>
      <c r="C307" s="836" t="str">
        <f t="shared" si="108"/>
        <v/>
      </c>
      <c r="D307" s="837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1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14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">
      <c r="A308" s="114" t="str">
        <f t="shared" si="106"/>
        <v/>
      </c>
      <c r="B308" s="130" t="str">
        <f t="shared" si="107"/>
        <v/>
      </c>
      <c r="C308" s="836" t="str">
        <f t="shared" si="108"/>
        <v/>
      </c>
      <c r="D308" s="837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1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14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">
      <c r="A309" s="114" t="str">
        <f t="shared" si="106"/>
        <v/>
      </c>
      <c r="B309" s="130" t="str">
        <f t="shared" si="107"/>
        <v/>
      </c>
      <c r="C309" s="836" t="str">
        <f t="shared" si="108"/>
        <v/>
      </c>
      <c r="D309" s="837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1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14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">
      <c r="A310" s="114" t="str">
        <f t="shared" si="106"/>
        <v/>
      </c>
      <c r="B310" s="130" t="str">
        <f t="shared" si="107"/>
        <v/>
      </c>
      <c r="C310" s="836" t="str">
        <f t="shared" si="108"/>
        <v/>
      </c>
      <c r="D310" s="837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1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14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">
      <c r="A311" s="114" t="str">
        <f t="shared" si="106"/>
        <v/>
      </c>
      <c r="B311" s="130" t="str">
        <f t="shared" si="107"/>
        <v/>
      </c>
      <c r="C311" s="836" t="str">
        <f t="shared" si="108"/>
        <v/>
      </c>
      <c r="D311" s="837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1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14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">
      <c r="A312" s="114" t="str">
        <f t="shared" si="106"/>
        <v/>
      </c>
      <c r="B312" s="130" t="str">
        <f t="shared" si="107"/>
        <v/>
      </c>
      <c r="C312" s="836" t="str">
        <f t="shared" si="108"/>
        <v/>
      </c>
      <c r="D312" s="837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1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14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">
      <c r="A313" s="114" t="str">
        <f t="shared" si="106"/>
        <v/>
      </c>
      <c r="B313" s="130" t="str">
        <f t="shared" si="107"/>
        <v/>
      </c>
      <c r="C313" s="836" t="str">
        <f t="shared" si="108"/>
        <v/>
      </c>
      <c r="D313" s="837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1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14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">
      <c r="A314" s="114" t="str">
        <f t="shared" si="106"/>
        <v/>
      </c>
      <c r="B314" s="130" t="str">
        <f t="shared" si="107"/>
        <v/>
      </c>
      <c r="C314" s="836" t="str">
        <f t="shared" si="108"/>
        <v/>
      </c>
      <c r="D314" s="837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1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14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">
      <c r="A315" s="114" t="str">
        <f t="shared" si="106"/>
        <v/>
      </c>
      <c r="B315" s="130" t="str">
        <f t="shared" si="107"/>
        <v/>
      </c>
      <c r="C315" s="836" t="str">
        <f t="shared" si="108"/>
        <v/>
      </c>
      <c r="D315" s="837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1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14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">
      <c r="A316" s="114" t="str">
        <f t="shared" si="106"/>
        <v/>
      </c>
      <c r="B316" s="130" t="str">
        <f t="shared" si="107"/>
        <v/>
      </c>
      <c r="C316" s="836" t="str">
        <f t="shared" si="108"/>
        <v/>
      </c>
      <c r="D316" s="837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1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14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">
      <c r="A317" s="114" t="str">
        <f t="shared" si="106"/>
        <v/>
      </c>
      <c r="B317" s="130" t="str">
        <f t="shared" si="107"/>
        <v/>
      </c>
      <c r="C317" s="836" t="str">
        <f t="shared" si="108"/>
        <v/>
      </c>
      <c r="D317" s="837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1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14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">
      <c r="A318" s="114" t="str">
        <f t="shared" si="106"/>
        <v/>
      </c>
      <c r="B318" s="130" t="str">
        <f t="shared" si="107"/>
        <v/>
      </c>
      <c r="C318" s="836" t="str">
        <f t="shared" si="108"/>
        <v/>
      </c>
      <c r="D318" s="837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1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14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">
      <c r="A319" s="114" t="str">
        <f t="shared" si="106"/>
        <v/>
      </c>
      <c r="B319" s="130" t="str">
        <f t="shared" si="107"/>
        <v/>
      </c>
      <c r="C319" s="836" t="str">
        <f t="shared" si="108"/>
        <v/>
      </c>
      <c r="D319" s="837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1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14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">
      <c r="A320" s="114" t="str">
        <f t="shared" si="106"/>
        <v/>
      </c>
      <c r="B320" s="130" t="str">
        <f t="shared" si="107"/>
        <v/>
      </c>
      <c r="C320" s="836" t="str">
        <f t="shared" si="108"/>
        <v/>
      </c>
      <c r="D320" s="837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1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14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">
      <c r="A321" s="114" t="str">
        <f t="shared" si="106"/>
        <v/>
      </c>
      <c r="B321" s="130" t="str">
        <f t="shared" si="107"/>
        <v/>
      </c>
      <c r="C321" s="836" t="str">
        <f t="shared" si="108"/>
        <v/>
      </c>
      <c r="D321" s="837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1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14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">
      <c r="A322" s="114" t="str">
        <f t="shared" si="106"/>
        <v/>
      </c>
      <c r="B322" s="130" t="str">
        <f t="shared" si="107"/>
        <v/>
      </c>
      <c r="C322" s="836" t="str">
        <f t="shared" si="108"/>
        <v/>
      </c>
      <c r="D322" s="837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1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14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">
      <c r="A323" s="114" t="str">
        <f t="shared" si="106"/>
        <v/>
      </c>
      <c r="B323" s="130" t="str">
        <f t="shared" si="107"/>
        <v/>
      </c>
      <c r="C323" s="836" t="str">
        <f t="shared" si="108"/>
        <v/>
      </c>
      <c r="D323" s="837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1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14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">
      <c r="A324" s="114" t="str">
        <f t="shared" si="106"/>
        <v/>
      </c>
      <c r="B324" s="130" t="str">
        <f t="shared" si="107"/>
        <v/>
      </c>
      <c r="C324" s="836" t="str">
        <f t="shared" si="108"/>
        <v/>
      </c>
      <c r="D324" s="837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1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14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">
      <c r="A325" s="114" t="str">
        <f t="shared" si="106"/>
        <v/>
      </c>
      <c r="B325" s="130" t="str">
        <f t="shared" si="107"/>
        <v/>
      </c>
      <c r="C325" s="836" t="str">
        <f t="shared" si="108"/>
        <v/>
      </c>
      <c r="D325" s="837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1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14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">
      <c r="A326" s="114" t="str">
        <f t="shared" si="106"/>
        <v/>
      </c>
      <c r="B326" s="130" t="str">
        <f t="shared" si="107"/>
        <v/>
      </c>
      <c r="C326" s="836" t="str">
        <f t="shared" si="108"/>
        <v/>
      </c>
      <c r="D326" s="837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1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14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">
      <c r="A327" s="114" t="str">
        <f t="shared" si="106"/>
        <v/>
      </c>
      <c r="B327" s="130" t="str">
        <f t="shared" si="107"/>
        <v/>
      </c>
      <c r="C327" s="836" t="str">
        <f t="shared" si="108"/>
        <v/>
      </c>
      <c r="D327" s="837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1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14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">
      <c r="A328" s="114" t="str">
        <f t="shared" si="106"/>
        <v/>
      </c>
      <c r="B328" s="130" t="str">
        <f t="shared" si="107"/>
        <v/>
      </c>
      <c r="C328" s="836" t="str">
        <f t="shared" si="108"/>
        <v/>
      </c>
      <c r="D328" s="837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1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14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">
      <c r="A329" s="114" t="str">
        <f t="shared" si="106"/>
        <v/>
      </c>
      <c r="B329" s="130" t="str">
        <f t="shared" si="107"/>
        <v/>
      </c>
      <c r="C329" s="836" t="str">
        <f t="shared" si="108"/>
        <v/>
      </c>
      <c r="D329" s="837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1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14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">
      <c r="A330" s="114" t="str">
        <f t="shared" si="106"/>
        <v/>
      </c>
      <c r="B330" s="130" t="str">
        <f t="shared" si="107"/>
        <v/>
      </c>
      <c r="C330" s="836" t="str">
        <f t="shared" si="108"/>
        <v/>
      </c>
      <c r="D330" s="837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1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14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">
      <c r="A331" s="114" t="str">
        <f t="shared" si="106"/>
        <v/>
      </c>
      <c r="B331" s="130" t="str">
        <f t="shared" si="107"/>
        <v/>
      </c>
      <c r="C331" s="836" t="str">
        <f t="shared" si="108"/>
        <v/>
      </c>
      <c r="D331" s="837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1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14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">
      <c r="A332" s="114" t="str">
        <f t="shared" si="106"/>
        <v/>
      </c>
      <c r="B332" s="130" t="str">
        <f t="shared" si="107"/>
        <v/>
      </c>
      <c r="C332" s="836" t="str">
        <f t="shared" si="108"/>
        <v/>
      </c>
      <c r="D332" s="837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1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14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">
      <c r="A333" s="114" t="str">
        <f t="shared" si="106"/>
        <v/>
      </c>
      <c r="B333" s="130" t="str">
        <f t="shared" si="107"/>
        <v/>
      </c>
      <c r="C333" s="836" t="str">
        <f t="shared" si="108"/>
        <v/>
      </c>
      <c r="D333" s="837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1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14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">
      <c r="A334" s="114" t="str">
        <f t="shared" si="106"/>
        <v/>
      </c>
      <c r="B334" s="130" t="str">
        <f t="shared" si="107"/>
        <v/>
      </c>
      <c r="C334" s="836" t="str">
        <f t="shared" si="108"/>
        <v/>
      </c>
      <c r="D334" s="837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1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14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">
      <c r="A335" s="114" t="str">
        <f t="shared" si="106"/>
        <v/>
      </c>
      <c r="B335" s="130" t="str">
        <f t="shared" si="107"/>
        <v/>
      </c>
      <c r="C335" s="836" t="str">
        <f t="shared" si="108"/>
        <v/>
      </c>
      <c r="D335" s="837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1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14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">
      <c r="A336" s="114" t="str">
        <f t="shared" si="106"/>
        <v/>
      </c>
      <c r="B336" s="130" t="str">
        <f t="shared" si="107"/>
        <v/>
      </c>
      <c r="C336" s="836" t="str">
        <f t="shared" si="108"/>
        <v/>
      </c>
      <c r="D336" s="837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1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14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">
      <c r="A337" s="122" t="s">
        <v>50</v>
      </c>
      <c r="B337" s="253"/>
      <c r="C337" s="839">
        <f>SUM(C297:C336)</f>
        <v>0</v>
      </c>
      <c r="D337" s="840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20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">
      <c r="A338" s="98" t="s">
        <v>294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">
      <c r="A339" s="418" t="s">
        <v>295</v>
      </c>
      <c r="B339" s="86"/>
      <c r="C339" s="838">
        <f>J64+C119+L119+C173+L173+C229+L229+C283+L283+C337</f>
        <v>0</v>
      </c>
      <c r="D339" s="838"/>
      <c r="E339" s="419">
        <f>M64+E119+M119+E173+M173+E229+M229+E283+M283+E337</f>
        <v>0</v>
      </c>
      <c r="F339" s="86"/>
      <c r="G339" s="419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8"/>
      <c r="X344" s="398"/>
      <c r="Y344" s="398"/>
      <c r="Z344" s="398"/>
      <c r="AA344" s="398"/>
      <c r="AB344" s="398"/>
      <c r="AC344" s="398"/>
      <c r="AD344" s="398"/>
    </row>
    <row r="345" spans="1:35" x14ac:dyDescent="0.2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">
      <c r="M349" s="82"/>
    </row>
    <row r="350" spans="1:35" x14ac:dyDescent="0.2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">
      <c r="A351" s="86"/>
      <c r="B351" s="87" t="s">
        <v>243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">
      <c r="A353" s="88">
        <v>0</v>
      </c>
      <c r="B353" s="348">
        <v>0</v>
      </c>
      <c r="C353" s="349"/>
      <c r="D353" s="349"/>
      <c r="E353" s="349"/>
      <c r="F353" s="350"/>
      <c r="G353" s="353">
        <v>0</v>
      </c>
      <c r="H353" s="353">
        <v>0</v>
      </c>
      <c r="I353" s="354">
        <v>0</v>
      </c>
      <c r="J353" s="354">
        <v>0</v>
      </c>
      <c r="K353" s="354">
        <v>0</v>
      </c>
      <c r="L353" s="354">
        <v>0</v>
      </c>
      <c r="M353" s="354">
        <v>0</v>
      </c>
      <c r="N353" s="354">
        <v>0</v>
      </c>
      <c r="O353" s="354">
        <v>0</v>
      </c>
      <c r="P353" s="354">
        <v>0</v>
      </c>
      <c r="Q353" s="354">
        <v>0</v>
      </c>
      <c r="R353" s="354">
        <v>0</v>
      </c>
      <c r="S353" s="354">
        <v>0</v>
      </c>
      <c r="T353" s="354">
        <v>0</v>
      </c>
      <c r="U353" s="82"/>
      <c r="V353" s="82"/>
      <c r="W353" s="538"/>
      <c r="X353" s="538"/>
      <c r="Y353" s="538"/>
      <c r="Z353" s="538"/>
      <c r="AA353" s="538"/>
      <c r="AB353" s="82"/>
      <c r="AC353" s="82"/>
      <c r="AD353" s="82"/>
      <c r="AG353" s="82"/>
      <c r="AH353" s="82"/>
      <c r="AI353" s="140"/>
    </row>
    <row r="354" spans="1:35" x14ac:dyDescent="0.2">
      <c r="A354" s="84" t="s">
        <v>56</v>
      </c>
      <c r="B354" s="348">
        <v>0.35</v>
      </c>
      <c r="C354" s="349"/>
      <c r="D354" s="349"/>
      <c r="E354" s="350"/>
      <c r="F354" s="350"/>
      <c r="G354" s="517" t="s">
        <v>56</v>
      </c>
      <c r="H354" s="518">
        <v>0.35</v>
      </c>
      <c r="I354" s="519">
        <v>0.36399999999999999</v>
      </c>
      <c r="J354" s="519">
        <v>0.378</v>
      </c>
      <c r="K354" s="519">
        <v>0.38200000000000001</v>
      </c>
      <c r="L354" s="519">
        <v>0.38600000000000001</v>
      </c>
      <c r="M354" s="519">
        <f t="shared" ref="M354:M363" si="117">L354</f>
        <v>0.38600000000000001</v>
      </c>
      <c r="N354" s="520">
        <f t="shared" ref="N354:N363" si="118">L354</f>
        <v>0.38600000000000001</v>
      </c>
      <c r="O354" s="519">
        <f t="shared" ref="O354:O363" si="119">L354</f>
        <v>0.38600000000000001</v>
      </c>
      <c r="P354" s="519">
        <f>L354</f>
        <v>0.38600000000000001</v>
      </c>
      <c r="Q354" s="519">
        <f>L354</f>
        <v>0.38600000000000001</v>
      </c>
      <c r="R354" s="519">
        <f t="shared" ref="R354:R363" si="120">L354</f>
        <v>0.38600000000000001</v>
      </c>
      <c r="S354" s="519">
        <f>L354</f>
        <v>0.38600000000000001</v>
      </c>
      <c r="T354" s="519">
        <f>L354</f>
        <v>0.38600000000000001</v>
      </c>
      <c r="U354" s="85"/>
      <c r="V354" s="85"/>
      <c r="W354" s="539"/>
      <c r="X354" s="539"/>
      <c r="Y354" s="539"/>
      <c r="Z354" s="539"/>
      <c r="AA354" s="539"/>
      <c r="AB354" s="85"/>
      <c r="AC354" s="85"/>
      <c r="AD354" s="85"/>
      <c r="AG354" s="85"/>
      <c r="AH354" s="85"/>
      <c r="AI354" s="85"/>
    </row>
    <row r="355" spans="1:35" x14ac:dyDescent="0.2">
      <c r="A355" s="84" t="s">
        <v>263</v>
      </c>
      <c r="B355" s="348">
        <v>0.35</v>
      </c>
      <c r="C355" s="349"/>
      <c r="D355" s="349"/>
      <c r="E355" s="350"/>
      <c r="F355" s="350"/>
      <c r="G355" s="517" t="s">
        <v>263</v>
      </c>
      <c r="H355" s="518">
        <v>0.35</v>
      </c>
      <c r="I355" s="519">
        <v>0.36399999999999999</v>
      </c>
      <c r="J355" s="519">
        <v>0.378</v>
      </c>
      <c r="K355" s="519">
        <v>0.38200000000000001</v>
      </c>
      <c r="L355" s="519">
        <v>0.38600000000000001</v>
      </c>
      <c r="M355" s="519">
        <f t="shared" si="117"/>
        <v>0.38600000000000001</v>
      </c>
      <c r="N355" s="520">
        <f t="shared" si="118"/>
        <v>0.38600000000000001</v>
      </c>
      <c r="O355" s="519">
        <f t="shared" si="119"/>
        <v>0.38600000000000001</v>
      </c>
      <c r="P355" s="519">
        <f>L355</f>
        <v>0.38600000000000001</v>
      </c>
      <c r="Q355" s="519">
        <f>L355</f>
        <v>0.38600000000000001</v>
      </c>
      <c r="R355" s="519">
        <f t="shared" si="120"/>
        <v>0.38600000000000001</v>
      </c>
      <c r="S355" s="519">
        <f>L355</f>
        <v>0.38600000000000001</v>
      </c>
      <c r="T355" s="519">
        <f>L355</f>
        <v>0.38600000000000001</v>
      </c>
      <c r="U355" s="85"/>
      <c r="V355" s="85"/>
      <c r="W355" s="539"/>
      <c r="X355" s="539"/>
      <c r="Y355" s="539"/>
      <c r="Z355" s="539"/>
      <c r="AA355" s="539"/>
      <c r="AB355" s="85"/>
      <c r="AC355" s="85"/>
      <c r="AD355" s="85"/>
      <c r="AG355" s="85"/>
      <c r="AH355" s="85"/>
      <c r="AI355" s="85"/>
    </row>
    <row r="356" spans="1:35" x14ac:dyDescent="0.2">
      <c r="A356" s="84" t="s">
        <v>264</v>
      </c>
      <c r="B356" s="348">
        <v>0.35</v>
      </c>
      <c r="C356" s="349"/>
      <c r="D356" s="349"/>
      <c r="E356" s="350"/>
      <c r="F356" s="350"/>
      <c r="G356" s="517" t="s">
        <v>264</v>
      </c>
      <c r="H356" s="518">
        <v>0.35</v>
      </c>
      <c r="I356" s="519">
        <v>0.36399999999999999</v>
      </c>
      <c r="J356" s="519">
        <v>0.378</v>
      </c>
      <c r="K356" s="519">
        <v>0.38200000000000001</v>
      </c>
      <c r="L356" s="519">
        <v>0.38600000000000001</v>
      </c>
      <c r="M356" s="519">
        <f t="shared" si="117"/>
        <v>0.38600000000000001</v>
      </c>
      <c r="N356" s="520">
        <f t="shared" si="118"/>
        <v>0.38600000000000001</v>
      </c>
      <c r="O356" s="519">
        <f t="shared" si="119"/>
        <v>0.38600000000000001</v>
      </c>
      <c r="P356" s="519">
        <f>L356</f>
        <v>0.38600000000000001</v>
      </c>
      <c r="Q356" s="519">
        <f>L356</f>
        <v>0.38600000000000001</v>
      </c>
      <c r="R356" s="519">
        <f t="shared" si="120"/>
        <v>0.38600000000000001</v>
      </c>
      <c r="S356" s="519">
        <f>L356</f>
        <v>0.38600000000000001</v>
      </c>
      <c r="T356" s="519">
        <f>L356</f>
        <v>0.38600000000000001</v>
      </c>
      <c r="U356" s="85"/>
      <c r="V356" s="85"/>
      <c r="W356" s="539"/>
      <c r="X356" s="539"/>
      <c r="Y356" s="539"/>
      <c r="Z356" s="539"/>
      <c r="AA356" s="539"/>
      <c r="AB356" s="85"/>
      <c r="AC356" s="85"/>
      <c r="AD356" s="85"/>
      <c r="AG356" s="85"/>
      <c r="AH356" s="85"/>
      <c r="AI356" s="85"/>
    </row>
    <row r="357" spans="1:35" x14ac:dyDescent="0.2">
      <c r="A357" s="84" t="s">
        <v>57</v>
      </c>
      <c r="B357" s="348">
        <v>0.28999999999999998</v>
      </c>
      <c r="C357" s="349"/>
      <c r="D357" s="349"/>
      <c r="E357" s="350"/>
      <c r="F357" s="350"/>
      <c r="G357" s="517" t="s">
        <v>57</v>
      </c>
      <c r="H357" s="518">
        <v>0.28999999999999998</v>
      </c>
      <c r="I357" s="519">
        <v>0.30199999999999999</v>
      </c>
      <c r="J357" s="519">
        <v>0.314</v>
      </c>
      <c r="K357" s="519">
        <v>0.316</v>
      </c>
      <c r="L357" s="519">
        <v>0.318</v>
      </c>
      <c r="M357" s="519">
        <f t="shared" si="117"/>
        <v>0.318</v>
      </c>
      <c r="N357" s="520">
        <f t="shared" si="118"/>
        <v>0.318</v>
      </c>
      <c r="O357" s="519">
        <f t="shared" si="119"/>
        <v>0.318</v>
      </c>
      <c r="P357" s="519">
        <f t="shared" ref="P357:P363" si="121">L357</f>
        <v>0.318</v>
      </c>
      <c r="Q357" s="519">
        <f t="shared" ref="Q357:Q363" si="122">L357</f>
        <v>0.318</v>
      </c>
      <c r="R357" s="519">
        <f t="shared" si="120"/>
        <v>0.318</v>
      </c>
      <c r="S357" s="519">
        <f>L357</f>
        <v>0.318</v>
      </c>
      <c r="T357" s="519">
        <f>L357</f>
        <v>0.318</v>
      </c>
      <c r="U357" s="85"/>
      <c r="V357" s="85"/>
      <c r="W357" s="539"/>
      <c r="X357" s="539"/>
      <c r="Y357" s="539"/>
      <c r="Z357" s="539"/>
      <c r="AA357" s="539"/>
      <c r="AB357" s="85"/>
      <c r="AC357" s="85"/>
      <c r="AD357" s="85"/>
      <c r="AG357" s="85"/>
      <c r="AH357" s="85"/>
      <c r="AI357" s="85"/>
    </row>
    <row r="358" spans="1:35" x14ac:dyDescent="0.2">
      <c r="A358" s="84" t="s">
        <v>104</v>
      </c>
      <c r="B358" s="348">
        <v>0.01</v>
      </c>
      <c r="C358" s="349"/>
      <c r="D358" s="349"/>
      <c r="E358" s="350"/>
      <c r="F358" s="350"/>
      <c r="G358" s="517" t="s">
        <v>104</v>
      </c>
      <c r="H358" s="518">
        <v>0.01</v>
      </c>
      <c r="I358" s="519">
        <v>0.01</v>
      </c>
      <c r="J358" s="519">
        <v>0.01</v>
      </c>
      <c r="K358" s="519">
        <v>0.01</v>
      </c>
      <c r="L358" s="519">
        <v>0.01</v>
      </c>
      <c r="M358" s="519">
        <v>0.01</v>
      </c>
      <c r="N358" s="520">
        <v>0.01</v>
      </c>
      <c r="O358" s="519">
        <v>0.01</v>
      </c>
      <c r="P358" s="519">
        <v>0.01</v>
      </c>
      <c r="Q358" s="519">
        <v>0.01</v>
      </c>
      <c r="R358" s="519">
        <v>0.01</v>
      </c>
      <c r="S358" s="519">
        <v>0.01</v>
      </c>
      <c r="T358" s="519">
        <v>0.01</v>
      </c>
      <c r="U358" s="85"/>
      <c r="V358" s="85"/>
      <c r="W358" s="539"/>
      <c r="X358" s="539"/>
      <c r="Y358" s="539"/>
      <c r="Z358" s="539"/>
      <c r="AA358" s="539"/>
      <c r="AB358" s="85"/>
      <c r="AC358" s="85"/>
      <c r="AD358" s="85"/>
      <c r="AG358" s="85"/>
      <c r="AH358" s="85"/>
      <c r="AI358" s="85"/>
    </row>
    <row r="359" spans="1:35" x14ac:dyDescent="0.2">
      <c r="A359" s="84" t="s">
        <v>111</v>
      </c>
      <c r="B359" s="348">
        <v>0.24</v>
      </c>
      <c r="C359" s="349"/>
      <c r="D359" s="349"/>
      <c r="E359" s="350"/>
      <c r="F359" s="350"/>
      <c r="G359" s="517" t="s">
        <v>111</v>
      </c>
      <c r="H359" s="518">
        <v>0.24</v>
      </c>
      <c r="I359" s="519">
        <v>0.24199999999999999</v>
      </c>
      <c r="J359" s="519">
        <v>0.24399999999999999</v>
      </c>
      <c r="K359" s="519">
        <v>0.246</v>
      </c>
      <c r="L359" s="519">
        <v>0.248</v>
      </c>
      <c r="M359" s="519">
        <f t="shared" si="117"/>
        <v>0.248</v>
      </c>
      <c r="N359" s="520">
        <f t="shared" si="118"/>
        <v>0.248</v>
      </c>
      <c r="O359" s="519">
        <f t="shared" si="119"/>
        <v>0.248</v>
      </c>
      <c r="P359" s="519">
        <f t="shared" si="121"/>
        <v>0.248</v>
      </c>
      <c r="Q359" s="519">
        <f t="shared" si="122"/>
        <v>0.248</v>
      </c>
      <c r="R359" s="519">
        <f t="shared" si="120"/>
        <v>0.248</v>
      </c>
      <c r="S359" s="519">
        <f>L359</f>
        <v>0.248</v>
      </c>
      <c r="T359" s="519">
        <f>L359</f>
        <v>0.248</v>
      </c>
      <c r="U359" s="85"/>
      <c r="V359" s="85"/>
      <c r="W359" s="539"/>
      <c r="X359" s="539"/>
      <c r="Y359" s="539"/>
      <c r="Z359" s="539"/>
      <c r="AA359" s="539"/>
      <c r="AB359" s="85"/>
      <c r="AC359" s="85"/>
      <c r="AD359" s="85"/>
      <c r="AG359" s="85"/>
      <c r="AH359" s="85"/>
      <c r="AI359" s="85"/>
    </row>
    <row r="360" spans="1:35" x14ac:dyDescent="0.2">
      <c r="A360" s="84" t="s">
        <v>133</v>
      </c>
      <c r="B360" s="348">
        <v>0.08</v>
      </c>
      <c r="C360" s="349"/>
      <c r="D360" s="349"/>
      <c r="E360" s="350"/>
      <c r="F360" s="350"/>
      <c r="G360" s="517" t="s">
        <v>133</v>
      </c>
      <c r="H360" s="518">
        <v>8.1000000000000003E-2</v>
      </c>
      <c r="I360" s="519">
        <v>8.1000000000000003E-2</v>
      </c>
      <c r="J360" s="519">
        <v>8.1000000000000003E-2</v>
      </c>
      <c r="K360" s="519">
        <v>8.1000000000000003E-2</v>
      </c>
      <c r="L360" s="519">
        <v>8.1000000000000003E-2</v>
      </c>
      <c r="M360" s="519">
        <f t="shared" si="117"/>
        <v>8.1000000000000003E-2</v>
      </c>
      <c r="N360" s="520">
        <f t="shared" si="118"/>
        <v>8.1000000000000003E-2</v>
      </c>
      <c r="O360" s="519">
        <f t="shared" si="119"/>
        <v>8.1000000000000003E-2</v>
      </c>
      <c r="P360" s="519">
        <f t="shared" si="121"/>
        <v>8.1000000000000003E-2</v>
      </c>
      <c r="Q360" s="519">
        <f t="shared" si="122"/>
        <v>8.1000000000000003E-2</v>
      </c>
      <c r="R360" s="519">
        <f t="shared" si="120"/>
        <v>8.1000000000000003E-2</v>
      </c>
      <c r="S360" s="519">
        <f>L360</f>
        <v>8.1000000000000003E-2</v>
      </c>
      <c r="T360" s="519">
        <f>L360</f>
        <v>8.1000000000000003E-2</v>
      </c>
      <c r="U360" s="85"/>
      <c r="V360" s="85"/>
      <c r="W360" s="539"/>
      <c r="X360" s="539"/>
      <c r="Y360" s="539"/>
      <c r="Z360" s="539"/>
      <c r="AA360" s="539"/>
      <c r="AB360" s="85"/>
      <c r="AC360" s="85"/>
      <c r="AD360" s="85"/>
      <c r="AG360" s="85"/>
      <c r="AH360" s="85"/>
      <c r="AI360" s="85"/>
    </row>
    <row r="361" spans="1:35" x14ac:dyDescent="0.2">
      <c r="A361" s="84" t="s">
        <v>58</v>
      </c>
      <c r="B361" s="348">
        <v>0.01</v>
      </c>
      <c r="C361" s="349"/>
      <c r="D361" s="349"/>
      <c r="E361" s="350"/>
      <c r="F361" s="350"/>
      <c r="G361" s="517" t="s">
        <v>58</v>
      </c>
      <c r="H361" s="518">
        <v>0.01</v>
      </c>
      <c r="I361" s="519">
        <f>ROUND(($H361*(1+FringeIncrease)^H$352),2)</f>
        <v>0.01</v>
      </c>
      <c r="J361" s="519">
        <f>ROUND(($H361*(1+FringeIncrease)^I$352),2)</f>
        <v>0.01</v>
      </c>
      <c r="K361" s="519">
        <f>ROUND(($H361*(1+FringeIncrease)^J$352),2)</f>
        <v>0.01</v>
      </c>
      <c r="L361" s="519">
        <f>ROUND(($H361*(1+FringeIncrease)^K$352),2)</f>
        <v>0.01</v>
      </c>
      <c r="M361" s="519">
        <f t="shared" si="117"/>
        <v>0.01</v>
      </c>
      <c r="N361" s="520">
        <f t="shared" si="118"/>
        <v>0.01</v>
      </c>
      <c r="O361" s="519">
        <f t="shared" si="119"/>
        <v>0.01</v>
      </c>
      <c r="P361" s="519">
        <f t="shared" si="121"/>
        <v>0.01</v>
      </c>
      <c r="Q361" s="519">
        <f t="shared" si="122"/>
        <v>0.01</v>
      </c>
      <c r="R361" s="519">
        <f t="shared" si="120"/>
        <v>0.01</v>
      </c>
      <c r="S361" s="519">
        <f>L361</f>
        <v>0.01</v>
      </c>
      <c r="T361" s="519">
        <f>L361</f>
        <v>0.01</v>
      </c>
      <c r="U361" s="85"/>
      <c r="V361" s="85"/>
      <c r="W361" s="539"/>
      <c r="X361" s="539"/>
      <c r="Y361" s="539"/>
      <c r="Z361" s="539"/>
      <c r="AA361" s="539"/>
      <c r="AB361" s="85"/>
      <c r="AC361" s="85"/>
      <c r="AD361" s="85"/>
      <c r="AG361" s="85"/>
      <c r="AH361" s="85"/>
      <c r="AI361" s="85"/>
    </row>
    <row r="362" spans="1:35" x14ac:dyDescent="0.2">
      <c r="A362" s="84" t="s">
        <v>59</v>
      </c>
      <c r="B362" s="348">
        <v>0.22</v>
      </c>
      <c r="C362" s="349"/>
      <c r="D362" s="349"/>
      <c r="E362" s="350"/>
      <c r="F362" s="350"/>
      <c r="G362" s="517" t="s">
        <v>59</v>
      </c>
      <c r="H362" s="518">
        <f>+B362</f>
        <v>0.22</v>
      </c>
      <c r="I362" s="519">
        <v>0.22</v>
      </c>
      <c r="J362" s="519">
        <v>0.22</v>
      </c>
      <c r="K362" s="519">
        <v>0.22</v>
      </c>
      <c r="L362" s="519">
        <v>0.22</v>
      </c>
      <c r="M362" s="519">
        <f t="shared" si="117"/>
        <v>0.22</v>
      </c>
      <c r="N362" s="520">
        <f t="shared" si="118"/>
        <v>0.22</v>
      </c>
      <c r="O362" s="519">
        <f t="shared" si="119"/>
        <v>0.22</v>
      </c>
      <c r="P362" s="519">
        <f t="shared" si="121"/>
        <v>0.22</v>
      </c>
      <c r="Q362" s="519">
        <f t="shared" si="122"/>
        <v>0.22</v>
      </c>
      <c r="R362" s="519">
        <f t="shared" si="120"/>
        <v>0.22</v>
      </c>
      <c r="S362" s="519">
        <f>L362</f>
        <v>0.22</v>
      </c>
      <c r="T362" s="519">
        <f>L362</f>
        <v>0.22</v>
      </c>
      <c r="U362" s="85"/>
      <c r="V362" s="85"/>
      <c r="W362" s="539"/>
      <c r="X362" s="539"/>
      <c r="Y362" s="539"/>
      <c r="Z362" s="539"/>
      <c r="AA362" s="539"/>
      <c r="AB362" s="85"/>
      <c r="AC362" s="85"/>
      <c r="AD362" s="85"/>
      <c r="AG362" s="85"/>
      <c r="AH362" s="85"/>
      <c r="AI362" s="85"/>
    </row>
    <row r="363" spans="1:35" x14ac:dyDescent="0.2">
      <c r="A363" s="84" t="s">
        <v>60</v>
      </c>
      <c r="B363" s="348">
        <v>0.01</v>
      </c>
      <c r="C363" s="349"/>
      <c r="D363" s="349"/>
      <c r="E363" s="350"/>
      <c r="F363" s="350"/>
      <c r="G363" s="517" t="s">
        <v>60</v>
      </c>
      <c r="H363" s="518">
        <v>0.01</v>
      </c>
      <c r="I363" s="519">
        <f>ROUND(($H363*(1+FringeIncrease)^H$352),2)</f>
        <v>0.01</v>
      </c>
      <c r="J363" s="519">
        <f>ROUND(($H363*(1+FringeIncrease)^I$352),2)</f>
        <v>0.01</v>
      </c>
      <c r="K363" s="519">
        <f>ROUND(($H363*(1+FringeIncrease)^J$352),2)</f>
        <v>0.01</v>
      </c>
      <c r="L363" s="519">
        <f>ROUND(($H363*(1.001+FringeIncrease)^K$352),2)</f>
        <v>0.01</v>
      </c>
      <c r="M363" s="519">
        <f t="shared" si="117"/>
        <v>0.01</v>
      </c>
      <c r="N363" s="520">
        <f t="shared" si="118"/>
        <v>0.01</v>
      </c>
      <c r="O363" s="519">
        <f t="shared" si="119"/>
        <v>0.01</v>
      </c>
      <c r="P363" s="519">
        <f t="shared" si="121"/>
        <v>0.01</v>
      </c>
      <c r="Q363" s="519">
        <f t="shared" si="122"/>
        <v>0.01</v>
      </c>
      <c r="R363" s="519">
        <f t="shared" si="120"/>
        <v>0.01</v>
      </c>
      <c r="S363" s="519">
        <f>L363</f>
        <v>0.01</v>
      </c>
      <c r="T363" s="519">
        <f>L363</f>
        <v>0.01</v>
      </c>
      <c r="U363" s="85"/>
      <c r="V363" s="85"/>
      <c r="W363" s="539"/>
      <c r="X363" s="539"/>
      <c r="Y363" s="539"/>
      <c r="Z363" s="539"/>
      <c r="AA363" s="539"/>
      <c r="AB363" s="85"/>
      <c r="AC363" s="85"/>
      <c r="AD363" s="85"/>
      <c r="AG363" s="85"/>
      <c r="AH363" s="85"/>
      <c r="AI363" s="85"/>
    </row>
    <row r="364" spans="1:35" x14ac:dyDescent="0.2">
      <c r="A364" s="84"/>
      <c r="B364" s="341"/>
      <c r="C364" s="30"/>
      <c r="D364" s="30"/>
      <c r="E364" s="30"/>
      <c r="F364" s="30"/>
      <c r="G364" s="351"/>
      <c r="H364" s="352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39"/>
      <c r="X364" s="539"/>
      <c r="Y364" s="539"/>
      <c r="Z364" s="539"/>
      <c r="AA364" s="539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">
      <c r="A365" s="84"/>
      <c r="B365" s="341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">
      <c r="A367" s="30" t="s">
        <v>171</v>
      </c>
      <c r="B367" s="34"/>
      <c r="C367" s="34"/>
      <c r="D367" s="34"/>
      <c r="E367" s="30"/>
      <c r="F367" s="30"/>
      <c r="G367" s="512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">
      <c r="I377" s="83"/>
    </row>
  </sheetData>
  <sheetProtection algorithmName="SHA-512" hashValue="Q9AzHZ8MreWdtoAGrYvGx1hc6wWIyMBtrk34fKLcRzaPLSvR2q6faKIiAjBFDqDo3k4s7QHBhb+OlUnLtTg0/A==" saltValue="PorDn1e1PxvErhhGuL1oyw==" spinCount="100000" sheet="1" objects="1" scenarios="1"/>
  <mergeCells count="337"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zoomScale="90" zoomScaleNormal="90" zoomScaleSheetLayoutView="90" workbookViewId="0">
      <selection activeCell="A3" sqref="A3"/>
    </sheetView>
  </sheetViews>
  <sheetFormatPr defaultColWidth="8.7109375" defaultRowHeight="12.75" x14ac:dyDescent="0.2"/>
  <cols>
    <col min="1" max="1" width="19.2851562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43" t="s">
        <v>205</v>
      </c>
      <c r="B1" s="943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678" t="s">
        <v>1</v>
      </c>
      <c r="Q1" s="679"/>
      <c r="R1" s="679"/>
      <c r="S1" s="679"/>
      <c r="T1" s="680"/>
      <c r="U1" s="680"/>
      <c r="V1" s="680"/>
      <c r="W1" s="680"/>
      <c r="X1" s="680"/>
      <c r="Y1" s="680"/>
      <c r="Z1" s="680"/>
      <c r="AA1" s="680"/>
    </row>
    <row r="2" spans="1:27" x14ac:dyDescent="0.2">
      <c r="A2" s="943" t="s">
        <v>2</v>
      </c>
      <c r="B2" s="943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679">
        <f>ENDDATE-CURRENTFYE</f>
        <v>-44742</v>
      </c>
      <c r="Q2" s="679" t="s">
        <v>3</v>
      </c>
      <c r="R2" s="679"/>
      <c r="S2" s="679"/>
      <c r="T2" s="680"/>
      <c r="U2" s="680"/>
      <c r="V2" s="680"/>
      <c r="W2" s="680"/>
      <c r="X2" s="680"/>
      <c r="Y2" s="680"/>
      <c r="Z2" s="680"/>
      <c r="AA2" s="680"/>
    </row>
    <row r="3" spans="1:27" ht="51" customHeight="1" thickBot="1" x14ac:dyDescent="0.25">
      <c r="A3" s="814" t="str">
        <f>+'Salary Detail'!A3</f>
        <v xml:space="preserve">  NON FEDERAL/ NON Standard F&amp;A Revised 3/18/2022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81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79" t="s">
        <v>4</v>
      </c>
      <c r="R3" s="679"/>
      <c r="S3" s="679"/>
      <c r="T3" s="680"/>
      <c r="U3" s="680"/>
      <c r="V3" s="680"/>
      <c r="W3" s="680"/>
      <c r="X3" s="680"/>
      <c r="Y3" s="680"/>
      <c r="Z3" s="680"/>
      <c r="AA3" s="680"/>
    </row>
    <row r="4" spans="1:27" x14ac:dyDescent="0.2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44" t="s">
        <v>23</v>
      </c>
      <c r="O4" s="945"/>
      <c r="P4" s="679"/>
      <c r="Q4" s="679" t="s">
        <v>5</v>
      </c>
      <c r="R4" s="679"/>
      <c r="S4" s="679"/>
      <c r="T4" s="680"/>
      <c r="U4" s="680"/>
      <c r="V4" s="680"/>
      <c r="W4" s="680"/>
      <c r="X4" s="680"/>
      <c r="Y4" s="680"/>
      <c r="Z4" s="680"/>
      <c r="AA4" s="680"/>
    </row>
    <row r="5" spans="1:27" ht="13.5" thickBot="1" x14ac:dyDescent="0.25">
      <c r="A5" s="196"/>
      <c r="B5" s="196"/>
      <c r="C5" s="191" t="s">
        <v>6</v>
      </c>
      <c r="D5" s="927" t="str">
        <f>IF('Salary Detail'!E5=0,"",'Salary Detail'!E5)</f>
        <v/>
      </c>
      <c r="E5" s="928"/>
      <c r="F5" s="929"/>
      <c r="G5" s="929"/>
      <c r="H5" s="929"/>
      <c r="I5" s="929"/>
      <c r="J5" s="929"/>
      <c r="K5" s="929"/>
      <c r="L5" s="197"/>
      <c r="M5" s="197"/>
      <c r="N5" s="946" t="s">
        <v>123</v>
      </c>
      <c r="O5" s="939"/>
      <c r="P5" s="679">
        <v>365</v>
      </c>
      <c r="Q5" s="679" t="s">
        <v>7</v>
      </c>
      <c r="R5" s="679"/>
      <c r="S5" s="679"/>
      <c r="T5" s="680"/>
      <c r="U5" s="680"/>
      <c r="V5" s="680"/>
      <c r="W5" s="680"/>
      <c r="X5" s="680"/>
      <c r="Y5" s="680"/>
      <c r="Z5" s="680"/>
      <c r="AA5" s="680"/>
    </row>
    <row r="6" spans="1:27" x14ac:dyDescent="0.2">
      <c r="A6" s="196"/>
      <c r="B6" s="196"/>
      <c r="C6" s="191" t="s">
        <v>8</v>
      </c>
      <c r="D6" s="927" t="str">
        <f>IF('Salary Detail'!E6=0,"",'Salary Detail'!E6)</f>
        <v/>
      </c>
      <c r="E6" s="928"/>
      <c r="F6" s="929"/>
      <c r="G6" s="929"/>
      <c r="H6" s="929"/>
      <c r="I6" s="929"/>
      <c r="J6" s="929"/>
      <c r="K6" s="929"/>
      <c r="L6" s="198"/>
      <c r="M6" s="198"/>
      <c r="N6" s="935" t="s">
        <v>125</v>
      </c>
      <c r="O6" s="936"/>
      <c r="P6" s="679"/>
      <c r="Q6" s="679" t="s">
        <v>9</v>
      </c>
      <c r="R6" s="679"/>
      <c r="S6" s="679"/>
      <c r="T6" s="680"/>
      <c r="U6" s="680"/>
      <c r="V6" s="680"/>
      <c r="W6" s="680"/>
      <c r="X6" s="680"/>
      <c r="Y6" s="680"/>
      <c r="Z6" s="680"/>
      <c r="AA6" s="680"/>
    </row>
    <row r="7" spans="1:27" x14ac:dyDescent="0.2">
      <c r="A7" s="196"/>
      <c r="B7" s="196"/>
      <c r="C7" s="191" t="s">
        <v>122</v>
      </c>
      <c r="D7" s="927" t="str">
        <f>IF('Salary Detail'!E7=0,"",'Salary Detail'!E7)</f>
        <v/>
      </c>
      <c r="E7" s="928"/>
      <c r="F7" s="929"/>
      <c r="G7" s="929"/>
      <c r="H7" s="929"/>
      <c r="I7" s="929"/>
      <c r="J7" s="929"/>
      <c r="K7" s="929"/>
      <c r="L7" s="198"/>
      <c r="M7" s="198"/>
      <c r="N7" s="942" t="s">
        <v>130</v>
      </c>
      <c r="O7" s="936"/>
      <c r="P7" s="679"/>
      <c r="Q7" s="679"/>
      <c r="R7" s="679"/>
      <c r="S7" s="679"/>
      <c r="T7" s="680"/>
      <c r="U7" s="680"/>
      <c r="V7" s="680"/>
      <c r="W7" s="680"/>
      <c r="X7" s="680"/>
      <c r="Y7" s="680"/>
      <c r="Z7" s="680"/>
      <c r="AA7" s="680"/>
    </row>
    <row r="8" spans="1:27" x14ac:dyDescent="0.2">
      <c r="A8" s="196"/>
      <c r="B8" s="196"/>
      <c r="C8" s="191" t="s">
        <v>10</v>
      </c>
      <c r="D8" s="927" t="str">
        <f>IF('Salary Detail'!E8=0,"",'Salary Detail'!E8)</f>
        <v/>
      </c>
      <c r="E8" s="928"/>
      <c r="F8" s="929"/>
      <c r="G8" s="929"/>
      <c r="H8" s="929"/>
      <c r="I8" s="929"/>
      <c r="J8" s="929"/>
      <c r="K8" s="929"/>
      <c r="L8" s="198"/>
      <c r="M8" s="198"/>
      <c r="N8" s="935" t="s">
        <v>126</v>
      </c>
      <c r="O8" s="936"/>
      <c r="P8" s="679"/>
      <c r="Q8" s="679" t="s">
        <v>11</v>
      </c>
      <c r="R8" s="679"/>
      <c r="S8" s="679"/>
      <c r="T8" s="680"/>
      <c r="U8" s="680"/>
      <c r="V8" s="680"/>
      <c r="W8" s="680"/>
      <c r="X8" s="680"/>
      <c r="Y8" s="680"/>
      <c r="Z8" s="680"/>
      <c r="AA8" s="680"/>
    </row>
    <row r="9" spans="1:27" x14ac:dyDescent="0.2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35" t="s">
        <v>127</v>
      </c>
      <c r="O9" s="936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</row>
    <row r="10" spans="1:27" x14ac:dyDescent="0.2">
      <c r="A10" s="196"/>
      <c r="B10" s="196"/>
      <c r="C10" s="191" t="s">
        <v>12</v>
      </c>
      <c r="D10" s="234">
        <f>CURRENTFYE</f>
        <v>44742</v>
      </c>
      <c r="E10" s="199"/>
      <c r="F10" s="195"/>
      <c r="G10" s="934" t="s">
        <v>206</v>
      </c>
      <c r="H10" s="856"/>
      <c r="I10" s="856"/>
      <c r="J10" s="856"/>
      <c r="K10" s="233" t="str">
        <f>IF(NUMMONTHS="","",NUMMONTHS)</f>
        <v/>
      </c>
      <c r="L10" s="198"/>
      <c r="M10" s="198"/>
      <c r="N10" s="935" t="s">
        <v>134</v>
      </c>
      <c r="O10" s="936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</row>
    <row r="11" spans="1:27" x14ac:dyDescent="0.2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34" t="s">
        <v>181</v>
      </c>
      <c r="H11" s="856"/>
      <c r="I11" s="856"/>
      <c r="J11" s="856"/>
      <c r="K11" s="200">
        <f>ROUNDUP(totalyrs,0)</f>
        <v>1</v>
      </c>
      <c r="L11" s="198"/>
      <c r="M11" s="198"/>
      <c r="N11" s="935" t="s">
        <v>128</v>
      </c>
      <c r="O11" s="936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</row>
    <row r="12" spans="1:27" x14ac:dyDescent="0.2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34" t="s">
        <v>112</v>
      </c>
      <c r="H12" s="856"/>
      <c r="I12" s="856"/>
      <c r="J12" s="856"/>
      <c r="K12" s="200">
        <f>ABS(CURRENTFYE-ENDDATE)</f>
        <v>44742</v>
      </c>
      <c r="L12" s="201"/>
      <c r="M12" s="201"/>
      <c r="N12" s="69" t="s">
        <v>129</v>
      </c>
      <c r="O12" s="68"/>
      <c r="P12" s="680"/>
      <c r="Q12" s="682"/>
      <c r="R12" s="682"/>
      <c r="S12" s="682"/>
      <c r="T12" s="680"/>
      <c r="U12" s="680"/>
      <c r="V12" s="680"/>
      <c r="W12" s="680"/>
      <c r="X12" s="680"/>
      <c r="Y12" s="680"/>
      <c r="Z12" s="680"/>
      <c r="AA12" s="680"/>
    </row>
    <row r="13" spans="1:27" ht="36.75" customHeight="1" x14ac:dyDescent="0.2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37" t="s">
        <v>124</v>
      </c>
      <c r="O13" s="936"/>
      <c r="P13" s="682" t="s">
        <v>13</v>
      </c>
      <c r="Q13" s="682"/>
      <c r="R13" s="682"/>
      <c r="S13" s="682"/>
      <c r="T13" s="680"/>
      <c r="U13" s="680"/>
      <c r="V13" s="680"/>
      <c r="W13" s="680"/>
      <c r="X13" s="680"/>
      <c r="Y13" s="680"/>
      <c r="Z13" s="680"/>
      <c r="AA13" s="680"/>
    </row>
    <row r="14" spans="1:27" ht="13.5" thickBot="1" x14ac:dyDescent="0.25">
      <c r="A14" s="196"/>
      <c r="B14" s="196"/>
      <c r="C14" s="191"/>
      <c r="D14" s="195"/>
      <c r="E14" s="195"/>
      <c r="F14" s="934" t="s">
        <v>140</v>
      </c>
      <c r="G14" s="856"/>
      <c r="H14" s="856"/>
      <c r="I14" s="856"/>
      <c r="J14" s="856"/>
      <c r="K14" s="81">
        <f>ROUND((ENDDATE-STARTDATE)/(365.25/12),0)</f>
        <v>0</v>
      </c>
      <c r="L14" s="203"/>
      <c r="M14" s="203"/>
      <c r="N14" s="938"/>
      <c r="O14" s="939"/>
      <c r="P14" s="679" t="s">
        <v>15</v>
      </c>
      <c r="Q14" s="679" t="s">
        <v>15</v>
      </c>
      <c r="R14" s="679" t="s">
        <v>16</v>
      </c>
      <c r="S14" s="679" t="s">
        <v>16</v>
      </c>
      <c r="T14" s="680"/>
      <c r="U14" s="680"/>
      <c r="V14" s="680"/>
      <c r="W14" s="680"/>
      <c r="X14" s="680"/>
      <c r="Y14" s="680"/>
      <c r="Z14" s="680"/>
      <c r="AA14" s="680"/>
    </row>
    <row r="15" spans="1:27" ht="12.75" customHeight="1" x14ac:dyDescent="0.2">
      <c r="A15" s="196"/>
      <c r="B15" s="196"/>
      <c r="C15" s="191"/>
      <c r="D15" s="195"/>
      <c r="E15" s="195"/>
      <c r="F15" s="934" t="s">
        <v>113</v>
      </c>
      <c r="G15" s="856"/>
      <c r="H15" s="856"/>
      <c r="I15" s="856"/>
      <c r="J15" s="856"/>
      <c r="K15" s="20">
        <v>0.04</v>
      </c>
      <c r="L15" s="196"/>
      <c r="M15" s="196"/>
      <c r="N15" s="195"/>
      <c r="O15" s="940"/>
      <c r="P15" s="679" t="s">
        <v>17</v>
      </c>
      <c r="Q15" s="679" t="s">
        <v>18</v>
      </c>
      <c r="R15" s="679" t="s">
        <v>17</v>
      </c>
      <c r="S15" s="679" t="s">
        <v>18</v>
      </c>
      <c r="T15" s="680"/>
      <c r="U15" s="680"/>
      <c r="V15" s="680"/>
      <c r="W15" s="680"/>
      <c r="X15" s="680"/>
      <c r="Y15" s="680"/>
      <c r="Z15" s="680"/>
      <c r="AA15" s="680"/>
    </row>
    <row r="16" spans="1:27" x14ac:dyDescent="0.2">
      <c r="A16" s="196"/>
      <c r="B16" s="196"/>
      <c r="C16" s="191"/>
      <c r="D16" s="195"/>
      <c r="E16" s="195"/>
      <c r="F16" s="195"/>
      <c r="G16" s="934" t="s">
        <v>114</v>
      </c>
      <c r="H16" s="856"/>
      <c r="I16" s="856"/>
      <c r="J16" s="856"/>
      <c r="K16" s="21">
        <f>SUM(P16:S16)</f>
        <v>1</v>
      </c>
      <c r="L16" s="196"/>
      <c r="M16" s="196"/>
      <c r="N16" s="195"/>
      <c r="O16" s="941"/>
      <c r="P16" s="681">
        <f>IF(PERIOD1&lt;365,IF(ENDDATE&lt;=CURRENTFYE,PERIOD1/365,0),0)</f>
        <v>0</v>
      </c>
      <c r="Q16" s="681">
        <f>IF(PERIOD1&lt;365,IF(ENDDATE&gt;CURRENTFYE,CFYE_EDPCNT*(PERIOD1/365),0),0)</f>
        <v>0</v>
      </c>
      <c r="R16" s="681">
        <f>IF(PERIOD1&gt;=365,IF(ENDDATE&lt;=CURRENTFYE,1,0),0)</f>
        <v>1</v>
      </c>
      <c r="S16" s="681">
        <f>IF(PERIOD1&gt;=365,IF(ENDDATE&gt;CURRENTFYE,1+($K$15*ENDDAYS/365),0),0)</f>
        <v>0</v>
      </c>
      <c r="T16" s="680"/>
      <c r="U16" s="680"/>
      <c r="V16" s="680"/>
      <c r="W16" s="680"/>
      <c r="X16" s="680"/>
      <c r="Y16" s="680"/>
      <c r="Z16" s="680"/>
      <c r="AA16" s="680"/>
    </row>
    <row r="17" spans="1:27" x14ac:dyDescent="0.2">
      <c r="A17" s="196"/>
      <c r="B17" s="196"/>
      <c r="C17" s="191"/>
      <c r="D17" s="195"/>
      <c r="E17" s="195"/>
      <c r="F17" s="195"/>
      <c r="G17" s="934" t="s">
        <v>207</v>
      </c>
      <c r="H17" s="856"/>
      <c r="I17" s="856"/>
      <c r="J17" s="856"/>
      <c r="K17" s="274">
        <f>MAXSAL</f>
        <v>203700</v>
      </c>
      <c r="L17" s="196"/>
      <c r="M17" s="196"/>
      <c r="N17" s="195"/>
      <c r="O17" s="941"/>
      <c r="P17" s="679"/>
      <c r="Q17" s="679"/>
      <c r="R17" s="679"/>
      <c r="S17" s="679" t="s">
        <v>14</v>
      </c>
      <c r="T17" s="680"/>
      <c r="U17" s="680"/>
      <c r="V17" s="680"/>
      <c r="W17" s="680"/>
      <c r="X17" s="680"/>
      <c r="Y17" s="680"/>
      <c r="Z17" s="680"/>
      <c r="AA17" s="680"/>
    </row>
    <row r="18" spans="1:27" x14ac:dyDescent="0.2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41"/>
      <c r="P18" s="679"/>
      <c r="Q18" s="679"/>
      <c r="R18" s="679"/>
      <c r="S18" s="679"/>
      <c r="T18" s="680"/>
      <c r="U18" s="680"/>
      <c r="V18" s="680"/>
      <c r="W18" s="680"/>
      <c r="X18" s="680"/>
      <c r="Y18" s="680"/>
      <c r="Z18" s="680"/>
      <c r="AA18" s="680"/>
    </row>
    <row r="19" spans="1:27" x14ac:dyDescent="0.2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82" t="s">
        <v>19</v>
      </c>
      <c r="Q19" s="682"/>
      <c r="R19" s="682"/>
      <c r="S19" s="682"/>
      <c r="T19" s="683" t="s">
        <v>20</v>
      </c>
      <c r="U19" s="680"/>
      <c r="V19" s="680"/>
      <c r="W19" s="680"/>
      <c r="X19" s="680"/>
      <c r="Y19" s="680"/>
      <c r="Z19" s="680"/>
      <c r="AA19" s="680"/>
    </row>
    <row r="20" spans="1:27" x14ac:dyDescent="0.2">
      <c r="A20" s="930" t="s">
        <v>13</v>
      </c>
      <c r="B20" s="931"/>
      <c r="C20" s="67"/>
      <c r="D20" s="22" t="s">
        <v>21</v>
      </c>
      <c r="E20" s="22"/>
      <c r="F20" s="22" t="s">
        <v>208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79"/>
      <c r="Q20" s="682" t="s">
        <v>25</v>
      </c>
      <c r="R20" s="682"/>
      <c r="S20" s="682"/>
      <c r="T20" s="682"/>
      <c r="U20" s="684" t="s">
        <v>26</v>
      </c>
      <c r="V20" s="680"/>
      <c r="W20" s="680"/>
      <c r="X20" s="680"/>
      <c r="Y20" s="680"/>
      <c r="Z20" s="680"/>
      <c r="AA20" s="680"/>
    </row>
    <row r="21" spans="1:27" x14ac:dyDescent="0.2">
      <c r="A21" s="932" t="s">
        <v>223</v>
      </c>
      <c r="B21" s="933"/>
      <c r="C21" s="46" t="s">
        <v>210</v>
      </c>
      <c r="D21" s="46" t="s">
        <v>27</v>
      </c>
      <c r="E21" s="46" t="s">
        <v>225</v>
      </c>
      <c r="F21" s="25" t="s">
        <v>230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79"/>
      <c r="Q21" s="684" t="s">
        <v>17</v>
      </c>
      <c r="R21" s="684" t="str">
        <f>Q21</f>
        <v>ED&lt;=CYFE</v>
      </c>
      <c r="S21" s="684" t="s">
        <v>18</v>
      </c>
      <c r="T21" s="684" t="str">
        <f>S21</f>
        <v>ED&gt;CYFE</v>
      </c>
      <c r="U21" s="684" t="s">
        <v>31</v>
      </c>
      <c r="V21" s="680"/>
      <c r="W21" s="680"/>
      <c r="X21" s="680"/>
      <c r="Y21" s="680"/>
      <c r="Z21" s="680"/>
      <c r="AA21" s="680"/>
    </row>
    <row r="22" spans="1:27" x14ac:dyDescent="0.2">
      <c r="A22" s="263" t="s">
        <v>222</v>
      </c>
      <c r="B22" s="275" t="s">
        <v>224</v>
      </c>
      <c r="C22" s="27" t="s">
        <v>132</v>
      </c>
      <c r="D22" s="27" t="s">
        <v>29</v>
      </c>
      <c r="E22" s="27" t="s">
        <v>226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84"/>
      <c r="Q22" s="684" t="s">
        <v>39</v>
      </c>
      <c r="R22" s="684" t="s">
        <v>40</v>
      </c>
      <c r="S22" s="684" t="str">
        <f>Q22</f>
        <v>Sal&lt;Max</v>
      </c>
      <c r="T22" s="684" t="str">
        <f>R22</f>
        <v>Sal&gt;=Max</v>
      </c>
      <c r="U22" s="684">
        <f>IF(MOD(YEAR(ENDDATE),4)=0,365,365)</f>
        <v>365</v>
      </c>
      <c r="V22" s="680"/>
      <c r="W22" s="680"/>
      <c r="X22" s="680"/>
      <c r="Y22" s="680"/>
      <c r="Z22" s="680"/>
      <c r="AA22" s="680"/>
    </row>
    <row r="23" spans="1:27" x14ac:dyDescent="0.2">
      <c r="A23" s="554"/>
      <c r="B23" s="598"/>
      <c r="C23" s="601"/>
      <c r="D23" s="602"/>
      <c r="E23" s="603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55"/>
      <c r="H23" s="177"/>
      <c r="I23" s="176" t="str">
        <f t="shared" ref="I23:I62" si="1">IFERROR(IF(ROUND(F23*G23,0)=0,"",ROUND(F23*G23,0)),"")</f>
        <v/>
      </c>
      <c r="J23" s="176"/>
      <c r="K23" s="604" t="str">
        <f>IF(A23="","",35%)</f>
        <v/>
      </c>
      <c r="L23" s="176" t="str">
        <f t="shared" ref="L23:L62" si="2">IFERROR(I23*K23,"")</f>
        <v/>
      </c>
      <c r="M23" s="176"/>
      <c r="N23" s="178" t="str">
        <f t="shared" ref="N23:N62" si="3">IFERROR(I23+L23,"")</f>
        <v/>
      </c>
      <c r="O23" s="556"/>
      <c r="P23" s="679"/>
      <c r="Q23" s="679">
        <f>ROUND(IF(AND(ENDDATE&lt;=CURRENTFYE,D23*FACTOR*yr1percent&lt;MAXSAL),D23*FACTOR*yr1percent,0),0)</f>
        <v>0</v>
      </c>
      <c r="R23" s="679">
        <f>ROUND(IF(AND(ENDDATE&lt;=CURRENTFYE,D23*FACTOR&gt;=MAXSAL),MAXSAL*yr1percent,0),0)</f>
        <v>0</v>
      </c>
      <c r="S23" s="679">
        <f t="shared" ref="S23:S62" si="4">ROUND(IF(AND(ENDDATE&gt;CURRENTFYE,D23*FACTOR&lt;MAXSAL),D23*$K$16,0),0)</f>
        <v>0</v>
      </c>
      <c r="T23" s="679">
        <f>ROUND(IF(AND(ENDDATE&gt;CURRENTFYE,D23*FACTOR&gt;=MAXSAL),MAXSAL*yr1percent,0),0)</f>
        <v>0</v>
      </c>
      <c r="U23" s="681">
        <f>365/U22</f>
        <v>1</v>
      </c>
      <c r="V23" s="680"/>
      <c r="W23" s="680"/>
      <c r="X23" s="680"/>
      <c r="Y23" s="680"/>
      <c r="Z23" s="680"/>
      <c r="AA23" s="680"/>
    </row>
    <row r="24" spans="1:27" x14ac:dyDescent="0.2">
      <c r="A24" s="205"/>
      <c r="B24" s="599"/>
      <c r="C24" s="605"/>
      <c r="D24" s="606"/>
      <c r="E24" s="607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279" t="str">
        <f>IF(A24="","",35%)</f>
        <v/>
      </c>
      <c r="L24" s="179" t="str">
        <f t="shared" si="2"/>
        <v/>
      </c>
      <c r="M24" s="179"/>
      <c r="N24" s="182" t="str">
        <f t="shared" si="3"/>
        <v/>
      </c>
      <c r="O24" s="236"/>
      <c r="P24" s="679"/>
      <c r="Q24" s="679">
        <f t="shared" ref="Q24:Q62" si="5">ROUND(IF(AND(ENDDATE&lt;=CURRENTFYE,D24*FACTOR*yr1percent&lt;MAXSAL),D24*FACTOR*yr1percent,0),0)</f>
        <v>0</v>
      </c>
      <c r="R24" s="679">
        <f t="shared" ref="R24:R62" si="6">ROUND(IF(AND(ENDDATE&lt;=CURRENTFYE,D24*FACTOR&gt;=MAXSAL),MAXSAL*yr1percent,0),0)</f>
        <v>0</v>
      </c>
      <c r="S24" s="679">
        <f t="shared" si="4"/>
        <v>0</v>
      </c>
      <c r="T24" s="679">
        <f t="shared" ref="T24:T62" si="7">ROUND(IF(AND(ENDDATE&gt;CURRENTFYE,D24*FACTOR&gt;=MAXSAL),MAXSAL*yr1percent,0),0)</f>
        <v>0</v>
      </c>
      <c r="U24" s="684"/>
      <c r="V24" s="680"/>
      <c r="W24" s="680"/>
      <c r="X24" s="680"/>
      <c r="Y24" s="680"/>
      <c r="Z24" s="680"/>
      <c r="AA24" s="680"/>
    </row>
    <row r="25" spans="1:27" x14ac:dyDescent="0.2">
      <c r="A25" s="205"/>
      <c r="B25" s="599"/>
      <c r="C25" s="605"/>
      <c r="D25" s="606"/>
      <c r="E25" s="607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279" t="str">
        <f>IF(A25="","",35%)</f>
        <v/>
      </c>
      <c r="L25" s="179" t="str">
        <f t="shared" si="2"/>
        <v/>
      </c>
      <c r="M25" s="179"/>
      <c r="N25" s="182" t="str">
        <f t="shared" si="3"/>
        <v/>
      </c>
      <c r="O25" s="236"/>
      <c r="P25" s="679"/>
      <c r="Q25" s="679">
        <f t="shared" si="5"/>
        <v>0</v>
      </c>
      <c r="R25" s="679">
        <f t="shared" si="6"/>
        <v>0</v>
      </c>
      <c r="S25" s="679">
        <f t="shared" si="4"/>
        <v>0</v>
      </c>
      <c r="T25" s="679">
        <f t="shared" si="7"/>
        <v>0</v>
      </c>
      <c r="U25" s="684"/>
      <c r="V25" s="680"/>
      <c r="W25" s="680"/>
      <c r="X25" s="680"/>
      <c r="Y25" s="680"/>
      <c r="Z25" s="680"/>
      <c r="AA25" s="680"/>
    </row>
    <row r="26" spans="1:27" x14ac:dyDescent="0.2">
      <c r="A26" s="205"/>
      <c r="B26" s="599"/>
      <c r="C26" s="605"/>
      <c r="D26" s="606"/>
      <c r="E26" s="607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279" t="str">
        <f>IF(A26="","",35%)</f>
        <v/>
      </c>
      <c r="L26" s="179" t="str">
        <f t="shared" si="2"/>
        <v/>
      </c>
      <c r="M26" s="179"/>
      <c r="N26" s="182" t="str">
        <f t="shared" si="3"/>
        <v/>
      </c>
      <c r="O26" s="236"/>
      <c r="P26" s="679"/>
      <c r="Q26" s="679">
        <f t="shared" si="5"/>
        <v>0</v>
      </c>
      <c r="R26" s="679">
        <f t="shared" si="6"/>
        <v>0</v>
      </c>
      <c r="S26" s="679">
        <f t="shared" si="4"/>
        <v>0</v>
      </c>
      <c r="T26" s="679">
        <f t="shared" si="7"/>
        <v>0</v>
      </c>
      <c r="U26" s="684"/>
      <c r="V26" s="680"/>
      <c r="W26" s="680"/>
      <c r="X26" s="680"/>
      <c r="Y26" s="680"/>
      <c r="Z26" s="680"/>
      <c r="AA26" s="680"/>
    </row>
    <row r="27" spans="1:27" x14ac:dyDescent="0.2">
      <c r="A27" s="205"/>
      <c r="B27" s="599"/>
      <c r="C27" s="605"/>
      <c r="D27" s="606"/>
      <c r="E27" s="607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279" t="str">
        <f>IF(A27="","",35%)</f>
        <v/>
      </c>
      <c r="L27" s="179" t="str">
        <f t="shared" si="2"/>
        <v/>
      </c>
      <c r="M27" s="179"/>
      <c r="N27" s="182" t="str">
        <f t="shared" si="3"/>
        <v/>
      </c>
      <c r="O27" s="236"/>
      <c r="P27" s="679"/>
      <c r="Q27" s="679">
        <f t="shared" si="5"/>
        <v>0</v>
      </c>
      <c r="R27" s="679">
        <f t="shared" si="6"/>
        <v>0</v>
      </c>
      <c r="S27" s="679">
        <f t="shared" si="4"/>
        <v>0</v>
      </c>
      <c r="T27" s="679">
        <f t="shared" si="7"/>
        <v>0</v>
      </c>
      <c r="U27" s="684"/>
      <c r="V27" s="680"/>
      <c r="W27" s="680"/>
      <c r="X27" s="680"/>
      <c r="Y27" s="680"/>
      <c r="Z27" s="680"/>
      <c r="AA27" s="680"/>
    </row>
    <row r="28" spans="1:27" x14ac:dyDescent="0.2">
      <c r="A28" s="205"/>
      <c r="B28" s="599"/>
      <c r="C28" s="605"/>
      <c r="D28" s="606"/>
      <c r="E28" s="607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279" t="str">
        <f t="shared" ref="K28:K62" si="8">IF(A28="","",35%)</f>
        <v/>
      </c>
      <c r="L28" s="179" t="str">
        <f t="shared" si="2"/>
        <v/>
      </c>
      <c r="M28" s="179"/>
      <c r="N28" s="182" t="str">
        <f t="shared" si="3"/>
        <v/>
      </c>
      <c r="O28" s="236"/>
      <c r="P28" s="679"/>
      <c r="Q28" s="679">
        <f t="shared" si="5"/>
        <v>0</v>
      </c>
      <c r="R28" s="679">
        <f t="shared" si="6"/>
        <v>0</v>
      </c>
      <c r="S28" s="679">
        <f t="shared" si="4"/>
        <v>0</v>
      </c>
      <c r="T28" s="679">
        <f t="shared" si="7"/>
        <v>0</v>
      </c>
      <c r="U28" s="684"/>
      <c r="V28" s="680"/>
      <c r="W28" s="680"/>
      <c r="X28" s="680"/>
      <c r="Y28" s="680"/>
      <c r="Z28" s="680"/>
      <c r="AA28" s="680"/>
    </row>
    <row r="29" spans="1:27" x14ac:dyDescent="0.2">
      <c r="A29" s="205"/>
      <c r="B29" s="599"/>
      <c r="C29" s="605"/>
      <c r="D29" s="606"/>
      <c r="E29" s="607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279" t="str">
        <f t="shared" si="8"/>
        <v/>
      </c>
      <c r="L29" s="179" t="str">
        <f t="shared" si="2"/>
        <v/>
      </c>
      <c r="M29" s="179"/>
      <c r="N29" s="182" t="str">
        <f t="shared" si="3"/>
        <v/>
      </c>
      <c r="O29" s="236"/>
      <c r="P29" s="679"/>
      <c r="Q29" s="679">
        <f t="shared" si="5"/>
        <v>0</v>
      </c>
      <c r="R29" s="679">
        <f t="shared" si="6"/>
        <v>0</v>
      </c>
      <c r="S29" s="679">
        <f t="shared" si="4"/>
        <v>0</v>
      </c>
      <c r="T29" s="679">
        <f t="shared" si="7"/>
        <v>0</v>
      </c>
      <c r="U29" s="684"/>
      <c r="V29" s="680"/>
      <c r="W29" s="680"/>
      <c r="X29" s="680"/>
      <c r="Y29" s="680"/>
      <c r="Z29" s="680"/>
      <c r="AA29" s="680"/>
    </row>
    <row r="30" spans="1:27" x14ac:dyDescent="0.2">
      <c r="A30" s="205"/>
      <c r="B30" s="599"/>
      <c r="C30" s="605"/>
      <c r="D30" s="606"/>
      <c r="E30" s="607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279" t="str">
        <f t="shared" si="8"/>
        <v/>
      </c>
      <c r="L30" s="179" t="str">
        <f t="shared" si="2"/>
        <v/>
      </c>
      <c r="M30" s="179"/>
      <c r="N30" s="182" t="str">
        <f t="shared" si="3"/>
        <v/>
      </c>
      <c r="O30" s="236"/>
      <c r="P30" s="679"/>
      <c r="Q30" s="679">
        <f t="shared" si="5"/>
        <v>0</v>
      </c>
      <c r="R30" s="679">
        <f t="shared" si="6"/>
        <v>0</v>
      </c>
      <c r="S30" s="679">
        <f t="shared" si="4"/>
        <v>0</v>
      </c>
      <c r="T30" s="679">
        <f t="shared" si="7"/>
        <v>0</v>
      </c>
      <c r="U30" s="684"/>
      <c r="V30" s="680"/>
      <c r="W30" s="680"/>
      <c r="X30" s="680"/>
      <c r="Y30" s="680"/>
      <c r="Z30" s="680"/>
      <c r="AA30" s="680"/>
    </row>
    <row r="31" spans="1:27" x14ac:dyDescent="0.2">
      <c r="A31" s="205"/>
      <c r="B31" s="599"/>
      <c r="C31" s="605"/>
      <c r="D31" s="606"/>
      <c r="E31" s="607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279" t="str">
        <f t="shared" si="8"/>
        <v/>
      </c>
      <c r="L31" s="179" t="str">
        <f t="shared" si="2"/>
        <v/>
      </c>
      <c r="M31" s="179"/>
      <c r="N31" s="182" t="str">
        <f t="shared" si="3"/>
        <v/>
      </c>
      <c r="O31" s="236"/>
      <c r="P31" s="679"/>
      <c r="Q31" s="679">
        <f t="shared" si="5"/>
        <v>0</v>
      </c>
      <c r="R31" s="679">
        <f t="shared" si="6"/>
        <v>0</v>
      </c>
      <c r="S31" s="679">
        <f t="shared" si="4"/>
        <v>0</v>
      </c>
      <c r="T31" s="679">
        <f t="shared" si="7"/>
        <v>0</v>
      </c>
      <c r="U31" s="684"/>
      <c r="V31" s="680"/>
      <c r="W31" s="680"/>
      <c r="X31" s="680"/>
      <c r="Y31" s="680"/>
      <c r="Z31" s="680"/>
      <c r="AA31" s="680"/>
    </row>
    <row r="32" spans="1:27" x14ac:dyDescent="0.2">
      <c r="A32" s="205"/>
      <c r="B32" s="599"/>
      <c r="C32" s="605"/>
      <c r="D32" s="606"/>
      <c r="E32" s="607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279" t="str">
        <f t="shared" si="8"/>
        <v/>
      </c>
      <c r="L32" s="179" t="str">
        <f t="shared" si="2"/>
        <v/>
      </c>
      <c r="M32" s="179"/>
      <c r="N32" s="182" t="str">
        <f t="shared" si="3"/>
        <v/>
      </c>
      <c r="O32" s="236"/>
      <c r="P32" s="679"/>
      <c r="Q32" s="679">
        <f t="shared" si="5"/>
        <v>0</v>
      </c>
      <c r="R32" s="679">
        <f t="shared" si="6"/>
        <v>0</v>
      </c>
      <c r="S32" s="679">
        <f t="shared" si="4"/>
        <v>0</v>
      </c>
      <c r="T32" s="679">
        <f t="shared" si="7"/>
        <v>0</v>
      </c>
      <c r="U32" s="684"/>
      <c r="V32" s="680"/>
      <c r="W32" s="680"/>
      <c r="X32" s="680"/>
      <c r="Y32" s="680"/>
      <c r="Z32" s="680"/>
      <c r="AA32" s="680"/>
    </row>
    <row r="33" spans="1:27" x14ac:dyDescent="0.2">
      <c r="A33" s="205"/>
      <c r="B33" s="599"/>
      <c r="C33" s="605"/>
      <c r="D33" s="606"/>
      <c r="E33" s="607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279" t="str">
        <f t="shared" si="8"/>
        <v/>
      </c>
      <c r="L33" s="179" t="str">
        <f t="shared" si="2"/>
        <v/>
      </c>
      <c r="M33" s="179"/>
      <c r="N33" s="182" t="str">
        <f t="shared" si="3"/>
        <v/>
      </c>
      <c r="O33" s="236"/>
      <c r="P33" s="679"/>
      <c r="Q33" s="679">
        <f t="shared" si="5"/>
        <v>0</v>
      </c>
      <c r="R33" s="679">
        <f t="shared" si="6"/>
        <v>0</v>
      </c>
      <c r="S33" s="679">
        <f t="shared" si="4"/>
        <v>0</v>
      </c>
      <c r="T33" s="679">
        <f t="shared" si="7"/>
        <v>0</v>
      </c>
      <c r="U33" s="680"/>
      <c r="V33" s="680"/>
      <c r="W33" s="680"/>
      <c r="X33" s="680"/>
      <c r="Y33" s="680"/>
      <c r="Z33" s="680"/>
      <c r="AA33" s="680"/>
    </row>
    <row r="34" spans="1:27" x14ac:dyDescent="0.2">
      <c r="A34" s="205"/>
      <c r="B34" s="599"/>
      <c r="C34" s="605"/>
      <c r="D34" s="606"/>
      <c r="E34" s="607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279" t="str">
        <f t="shared" si="8"/>
        <v/>
      </c>
      <c r="L34" s="179" t="str">
        <f t="shared" si="2"/>
        <v/>
      </c>
      <c r="M34" s="179"/>
      <c r="N34" s="182" t="str">
        <f t="shared" si="3"/>
        <v/>
      </c>
      <c r="O34" s="236"/>
      <c r="P34" s="679"/>
      <c r="Q34" s="679">
        <f t="shared" si="5"/>
        <v>0</v>
      </c>
      <c r="R34" s="679">
        <f t="shared" si="6"/>
        <v>0</v>
      </c>
      <c r="S34" s="679">
        <f t="shared" si="4"/>
        <v>0</v>
      </c>
      <c r="T34" s="679">
        <f t="shared" si="7"/>
        <v>0</v>
      </c>
      <c r="U34" s="680"/>
      <c r="V34" s="680"/>
      <c r="W34" s="680"/>
      <c r="X34" s="680"/>
      <c r="Y34" s="680"/>
      <c r="Z34" s="680"/>
      <c r="AA34" s="680"/>
    </row>
    <row r="35" spans="1:27" x14ac:dyDescent="0.2">
      <c r="A35" s="205"/>
      <c r="B35" s="599"/>
      <c r="C35" s="605"/>
      <c r="D35" s="606"/>
      <c r="E35" s="607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279" t="str">
        <f t="shared" si="8"/>
        <v/>
      </c>
      <c r="L35" s="179" t="str">
        <f t="shared" si="2"/>
        <v/>
      </c>
      <c r="M35" s="179"/>
      <c r="N35" s="182" t="str">
        <f t="shared" si="3"/>
        <v/>
      </c>
      <c r="O35" s="236"/>
      <c r="P35" s="679"/>
      <c r="Q35" s="679">
        <f t="shared" si="5"/>
        <v>0</v>
      </c>
      <c r="R35" s="679">
        <f t="shared" si="6"/>
        <v>0</v>
      </c>
      <c r="S35" s="679">
        <f t="shared" si="4"/>
        <v>0</v>
      </c>
      <c r="T35" s="679">
        <f t="shared" si="7"/>
        <v>0</v>
      </c>
      <c r="U35" s="680"/>
      <c r="V35" s="680"/>
      <c r="W35" s="680"/>
      <c r="X35" s="680"/>
      <c r="Y35" s="680"/>
      <c r="Z35" s="680"/>
      <c r="AA35" s="680"/>
    </row>
    <row r="36" spans="1:27" x14ac:dyDescent="0.2">
      <c r="A36" s="205"/>
      <c r="B36" s="599"/>
      <c r="C36" s="605"/>
      <c r="D36" s="606"/>
      <c r="E36" s="607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279" t="str">
        <f t="shared" si="8"/>
        <v/>
      </c>
      <c r="L36" s="179" t="str">
        <f t="shared" si="2"/>
        <v/>
      </c>
      <c r="M36" s="179"/>
      <c r="N36" s="182" t="str">
        <f t="shared" si="3"/>
        <v/>
      </c>
      <c r="O36" s="236"/>
      <c r="P36" s="679"/>
      <c r="Q36" s="679">
        <f t="shared" si="5"/>
        <v>0</v>
      </c>
      <c r="R36" s="679">
        <f t="shared" si="6"/>
        <v>0</v>
      </c>
      <c r="S36" s="679">
        <f t="shared" si="4"/>
        <v>0</v>
      </c>
      <c r="T36" s="679">
        <f t="shared" si="7"/>
        <v>0</v>
      </c>
      <c r="U36" s="680"/>
      <c r="V36" s="680"/>
      <c r="W36" s="680"/>
      <c r="X36" s="680"/>
      <c r="Y36" s="680"/>
      <c r="Z36" s="680"/>
      <c r="AA36" s="680"/>
    </row>
    <row r="37" spans="1:27" x14ac:dyDescent="0.2">
      <c r="A37" s="205"/>
      <c r="B37" s="599"/>
      <c r="C37" s="605"/>
      <c r="D37" s="606"/>
      <c r="E37" s="607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279" t="str">
        <f t="shared" si="8"/>
        <v/>
      </c>
      <c r="L37" s="179" t="str">
        <f t="shared" si="2"/>
        <v/>
      </c>
      <c r="M37" s="179"/>
      <c r="N37" s="182" t="str">
        <f t="shared" si="3"/>
        <v/>
      </c>
      <c r="O37" s="236"/>
      <c r="P37" s="679"/>
      <c r="Q37" s="679">
        <f t="shared" si="5"/>
        <v>0</v>
      </c>
      <c r="R37" s="679">
        <f t="shared" si="6"/>
        <v>0</v>
      </c>
      <c r="S37" s="679">
        <f t="shared" si="4"/>
        <v>0</v>
      </c>
      <c r="T37" s="679">
        <f t="shared" si="7"/>
        <v>0</v>
      </c>
      <c r="U37" s="680"/>
      <c r="V37" s="680"/>
      <c r="W37" s="680"/>
      <c r="X37" s="680"/>
      <c r="Y37" s="680"/>
      <c r="Z37" s="680"/>
      <c r="AA37" s="680"/>
    </row>
    <row r="38" spans="1:27" x14ac:dyDescent="0.2">
      <c r="A38" s="205"/>
      <c r="B38" s="599"/>
      <c r="C38" s="605"/>
      <c r="D38" s="606"/>
      <c r="E38" s="607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279" t="str">
        <f t="shared" si="8"/>
        <v/>
      </c>
      <c r="L38" s="179" t="str">
        <f t="shared" si="2"/>
        <v/>
      </c>
      <c r="M38" s="179"/>
      <c r="N38" s="182" t="str">
        <f t="shared" si="3"/>
        <v/>
      </c>
      <c r="O38" s="236"/>
      <c r="P38" s="679"/>
      <c r="Q38" s="679">
        <f t="shared" si="5"/>
        <v>0</v>
      </c>
      <c r="R38" s="679">
        <f t="shared" si="6"/>
        <v>0</v>
      </c>
      <c r="S38" s="679">
        <f t="shared" si="4"/>
        <v>0</v>
      </c>
      <c r="T38" s="679">
        <f t="shared" si="7"/>
        <v>0</v>
      </c>
      <c r="U38" s="680"/>
      <c r="V38" s="680"/>
      <c r="W38" s="680"/>
      <c r="X38" s="680"/>
      <c r="Y38" s="680"/>
      <c r="Z38" s="680"/>
      <c r="AA38" s="680"/>
    </row>
    <row r="39" spans="1:27" x14ac:dyDescent="0.2">
      <c r="A39" s="205"/>
      <c r="B39" s="599"/>
      <c r="C39" s="605"/>
      <c r="D39" s="606"/>
      <c r="E39" s="607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279" t="str">
        <f t="shared" si="8"/>
        <v/>
      </c>
      <c r="L39" s="179" t="str">
        <f t="shared" si="2"/>
        <v/>
      </c>
      <c r="M39" s="179"/>
      <c r="N39" s="182" t="str">
        <f t="shared" si="3"/>
        <v/>
      </c>
      <c r="O39" s="236"/>
      <c r="P39" s="679"/>
      <c r="Q39" s="679">
        <f t="shared" si="5"/>
        <v>0</v>
      </c>
      <c r="R39" s="679">
        <f t="shared" si="6"/>
        <v>0</v>
      </c>
      <c r="S39" s="679">
        <f t="shared" si="4"/>
        <v>0</v>
      </c>
      <c r="T39" s="679">
        <f t="shared" si="7"/>
        <v>0</v>
      </c>
      <c r="U39" s="680"/>
      <c r="V39" s="680"/>
      <c r="W39" s="680"/>
      <c r="X39" s="680"/>
      <c r="Y39" s="680"/>
      <c r="Z39" s="680"/>
      <c r="AA39" s="680"/>
    </row>
    <row r="40" spans="1:27" x14ac:dyDescent="0.2">
      <c r="A40" s="205"/>
      <c r="B40" s="599"/>
      <c r="C40" s="605"/>
      <c r="D40" s="606"/>
      <c r="E40" s="607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279" t="str">
        <f t="shared" si="8"/>
        <v/>
      </c>
      <c r="L40" s="179" t="str">
        <f t="shared" si="2"/>
        <v/>
      </c>
      <c r="M40" s="179"/>
      <c r="N40" s="182" t="str">
        <f t="shared" si="3"/>
        <v/>
      </c>
      <c r="O40" s="236"/>
      <c r="P40" s="679"/>
      <c r="Q40" s="679">
        <f t="shared" si="5"/>
        <v>0</v>
      </c>
      <c r="R40" s="679">
        <f t="shared" si="6"/>
        <v>0</v>
      </c>
      <c r="S40" s="679">
        <f t="shared" si="4"/>
        <v>0</v>
      </c>
      <c r="T40" s="679">
        <f t="shared" si="7"/>
        <v>0</v>
      </c>
      <c r="U40" s="680"/>
      <c r="V40" s="680"/>
      <c r="W40" s="680"/>
      <c r="X40" s="680"/>
      <c r="Y40" s="680"/>
      <c r="Z40" s="680"/>
      <c r="AA40" s="680"/>
    </row>
    <row r="41" spans="1:27" x14ac:dyDescent="0.2">
      <c r="A41" s="205"/>
      <c r="B41" s="599"/>
      <c r="C41" s="605"/>
      <c r="D41" s="606"/>
      <c r="E41" s="607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279" t="str">
        <f t="shared" si="8"/>
        <v/>
      </c>
      <c r="L41" s="179" t="str">
        <f t="shared" si="2"/>
        <v/>
      </c>
      <c r="M41" s="179"/>
      <c r="N41" s="182" t="str">
        <f t="shared" si="3"/>
        <v/>
      </c>
      <c r="O41" s="236"/>
      <c r="P41" s="679"/>
      <c r="Q41" s="679">
        <f t="shared" si="5"/>
        <v>0</v>
      </c>
      <c r="R41" s="679">
        <f t="shared" si="6"/>
        <v>0</v>
      </c>
      <c r="S41" s="679">
        <f t="shared" si="4"/>
        <v>0</v>
      </c>
      <c r="T41" s="679">
        <f t="shared" si="7"/>
        <v>0</v>
      </c>
      <c r="U41" s="680"/>
      <c r="V41" s="680"/>
      <c r="W41" s="680"/>
      <c r="X41" s="680"/>
      <c r="Y41" s="680"/>
      <c r="Z41" s="680"/>
      <c r="AA41" s="680"/>
    </row>
    <row r="42" spans="1:27" x14ac:dyDescent="0.2">
      <c r="A42" s="205"/>
      <c r="B42" s="599"/>
      <c r="C42" s="605"/>
      <c r="D42" s="606"/>
      <c r="E42" s="607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279" t="str">
        <f t="shared" si="8"/>
        <v/>
      </c>
      <c r="L42" s="179" t="str">
        <f t="shared" si="2"/>
        <v/>
      </c>
      <c r="M42" s="179"/>
      <c r="N42" s="182" t="str">
        <f t="shared" si="3"/>
        <v/>
      </c>
      <c r="O42" s="236"/>
      <c r="P42" s="679"/>
      <c r="Q42" s="679">
        <f t="shared" si="5"/>
        <v>0</v>
      </c>
      <c r="R42" s="679">
        <f t="shared" si="6"/>
        <v>0</v>
      </c>
      <c r="S42" s="679">
        <f t="shared" si="4"/>
        <v>0</v>
      </c>
      <c r="T42" s="679">
        <f t="shared" si="7"/>
        <v>0</v>
      </c>
      <c r="U42" s="680"/>
      <c r="V42" s="680"/>
      <c r="W42" s="680"/>
      <c r="X42" s="680"/>
      <c r="Y42" s="680"/>
      <c r="Z42" s="680"/>
      <c r="AA42" s="680"/>
    </row>
    <row r="43" spans="1:27" x14ac:dyDescent="0.2">
      <c r="A43" s="205"/>
      <c r="B43" s="599"/>
      <c r="C43" s="605"/>
      <c r="D43" s="606"/>
      <c r="E43" s="607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279" t="str">
        <f t="shared" si="8"/>
        <v/>
      </c>
      <c r="L43" s="179" t="str">
        <f t="shared" si="2"/>
        <v/>
      </c>
      <c r="M43" s="179"/>
      <c r="N43" s="182" t="str">
        <f t="shared" si="3"/>
        <v/>
      </c>
      <c r="O43" s="236"/>
      <c r="P43" s="679"/>
      <c r="Q43" s="679">
        <f t="shared" si="5"/>
        <v>0</v>
      </c>
      <c r="R43" s="679">
        <f t="shared" si="6"/>
        <v>0</v>
      </c>
      <c r="S43" s="679">
        <f t="shared" si="4"/>
        <v>0</v>
      </c>
      <c r="T43" s="679">
        <f t="shared" si="7"/>
        <v>0</v>
      </c>
      <c r="U43" s="680"/>
      <c r="V43" s="680"/>
      <c r="W43" s="680"/>
      <c r="X43" s="680"/>
      <c r="Y43" s="680"/>
      <c r="Z43" s="680"/>
      <c r="AA43" s="680"/>
    </row>
    <row r="44" spans="1:27" x14ac:dyDescent="0.2">
      <c r="A44" s="205"/>
      <c r="B44" s="599"/>
      <c r="C44" s="605"/>
      <c r="D44" s="606"/>
      <c r="E44" s="607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279" t="str">
        <f t="shared" si="8"/>
        <v/>
      </c>
      <c r="L44" s="179" t="str">
        <f t="shared" si="2"/>
        <v/>
      </c>
      <c r="M44" s="179"/>
      <c r="N44" s="182" t="str">
        <f t="shared" si="3"/>
        <v/>
      </c>
      <c r="O44" s="236"/>
      <c r="P44" s="679"/>
      <c r="Q44" s="679">
        <f t="shared" si="5"/>
        <v>0</v>
      </c>
      <c r="R44" s="679">
        <f t="shared" si="6"/>
        <v>0</v>
      </c>
      <c r="S44" s="679">
        <f t="shared" si="4"/>
        <v>0</v>
      </c>
      <c r="T44" s="679">
        <f t="shared" si="7"/>
        <v>0</v>
      </c>
      <c r="U44" s="680"/>
      <c r="V44" s="680"/>
      <c r="W44" s="680"/>
      <c r="X44" s="680"/>
      <c r="Y44" s="680"/>
      <c r="Z44" s="680"/>
      <c r="AA44" s="680"/>
    </row>
    <row r="45" spans="1:27" x14ac:dyDescent="0.2">
      <c r="A45" s="205"/>
      <c r="B45" s="599"/>
      <c r="C45" s="605"/>
      <c r="D45" s="606"/>
      <c r="E45" s="607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279" t="str">
        <f t="shared" si="8"/>
        <v/>
      </c>
      <c r="L45" s="179" t="str">
        <f t="shared" si="2"/>
        <v/>
      </c>
      <c r="M45" s="179"/>
      <c r="N45" s="182" t="str">
        <f t="shared" si="3"/>
        <v/>
      </c>
      <c r="O45" s="236"/>
      <c r="P45" s="679"/>
      <c r="Q45" s="679">
        <f t="shared" si="5"/>
        <v>0</v>
      </c>
      <c r="R45" s="679">
        <f t="shared" si="6"/>
        <v>0</v>
      </c>
      <c r="S45" s="679">
        <f t="shared" si="4"/>
        <v>0</v>
      </c>
      <c r="T45" s="679">
        <f t="shared" si="7"/>
        <v>0</v>
      </c>
      <c r="U45" s="680"/>
      <c r="V45" s="680"/>
      <c r="W45" s="680"/>
      <c r="X45" s="680"/>
      <c r="Y45" s="680"/>
      <c r="Z45" s="680"/>
      <c r="AA45" s="680"/>
    </row>
    <row r="46" spans="1:27" x14ac:dyDescent="0.2">
      <c r="A46" s="205"/>
      <c r="B46" s="599"/>
      <c r="C46" s="605"/>
      <c r="D46" s="606"/>
      <c r="E46" s="607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279" t="str">
        <f t="shared" si="8"/>
        <v/>
      </c>
      <c r="L46" s="179" t="str">
        <f t="shared" si="2"/>
        <v/>
      </c>
      <c r="M46" s="179"/>
      <c r="N46" s="182" t="str">
        <f t="shared" si="3"/>
        <v/>
      </c>
      <c r="O46" s="236"/>
      <c r="P46" s="679"/>
      <c r="Q46" s="679">
        <f t="shared" si="5"/>
        <v>0</v>
      </c>
      <c r="R46" s="679">
        <f t="shared" si="6"/>
        <v>0</v>
      </c>
      <c r="S46" s="679">
        <f t="shared" si="4"/>
        <v>0</v>
      </c>
      <c r="T46" s="679">
        <f t="shared" si="7"/>
        <v>0</v>
      </c>
      <c r="U46" s="680"/>
      <c r="V46" s="680"/>
      <c r="W46" s="680"/>
      <c r="X46" s="680"/>
      <c r="Y46" s="680"/>
      <c r="Z46" s="680"/>
      <c r="AA46" s="680"/>
    </row>
    <row r="47" spans="1:27" x14ac:dyDescent="0.2">
      <c r="A47" s="205"/>
      <c r="B47" s="599"/>
      <c r="C47" s="605"/>
      <c r="D47" s="606"/>
      <c r="E47" s="607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279" t="str">
        <f t="shared" si="8"/>
        <v/>
      </c>
      <c r="L47" s="179" t="str">
        <f t="shared" si="2"/>
        <v/>
      </c>
      <c r="M47" s="179"/>
      <c r="N47" s="182" t="str">
        <f t="shared" si="3"/>
        <v/>
      </c>
      <c r="O47" s="236"/>
      <c r="P47" s="679"/>
      <c r="Q47" s="679">
        <f t="shared" si="5"/>
        <v>0</v>
      </c>
      <c r="R47" s="679">
        <f t="shared" si="6"/>
        <v>0</v>
      </c>
      <c r="S47" s="679">
        <f t="shared" si="4"/>
        <v>0</v>
      </c>
      <c r="T47" s="679">
        <f t="shared" si="7"/>
        <v>0</v>
      </c>
      <c r="U47" s="680"/>
      <c r="V47" s="680"/>
      <c r="W47" s="680"/>
      <c r="X47" s="680"/>
      <c r="Y47" s="680"/>
      <c r="Z47" s="680"/>
      <c r="AA47" s="680"/>
    </row>
    <row r="48" spans="1:27" x14ac:dyDescent="0.2">
      <c r="A48" s="205"/>
      <c r="B48" s="599"/>
      <c r="C48" s="605"/>
      <c r="D48" s="606"/>
      <c r="E48" s="607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279" t="str">
        <f t="shared" si="8"/>
        <v/>
      </c>
      <c r="L48" s="179" t="str">
        <f t="shared" si="2"/>
        <v/>
      </c>
      <c r="M48" s="179"/>
      <c r="N48" s="182" t="str">
        <f t="shared" si="3"/>
        <v/>
      </c>
      <c r="O48" s="236"/>
      <c r="P48" s="679"/>
      <c r="Q48" s="679">
        <f t="shared" si="5"/>
        <v>0</v>
      </c>
      <c r="R48" s="679">
        <f t="shared" si="6"/>
        <v>0</v>
      </c>
      <c r="S48" s="679">
        <f t="shared" si="4"/>
        <v>0</v>
      </c>
      <c r="T48" s="679">
        <f t="shared" si="7"/>
        <v>0</v>
      </c>
      <c r="U48" s="680"/>
      <c r="V48" s="680"/>
      <c r="W48" s="680"/>
      <c r="X48" s="680"/>
      <c r="Y48" s="680"/>
      <c r="Z48" s="680"/>
      <c r="AA48" s="680"/>
    </row>
    <row r="49" spans="1:27" x14ac:dyDescent="0.2">
      <c r="A49" s="205"/>
      <c r="B49" s="599"/>
      <c r="C49" s="605"/>
      <c r="D49" s="606"/>
      <c r="E49" s="607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279" t="str">
        <f t="shared" si="8"/>
        <v/>
      </c>
      <c r="L49" s="179" t="str">
        <f t="shared" si="2"/>
        <v/>
      </c>
      <c r="M49" s="179"/>
      <c r="N49" s="182" t="str">
        <f t="shared" si="3"/>
        <v/>
      </c>
      <c r="O49" s="236"/>
      <c r="P49" s="679"/>
      <c r="Q49" s="679">
        <f t="shared" si="5"/>
        <v>0</v>
      </c>
      <c r="R49" s="679">
        <f t="shared" si="6"/>
        <v>0</v>
      </c>
      <c r="S49" s="679">
        <f t="shared" si="4"/>
        <v>0</v>
      </c>
      <c r="T49" s="679">
        <f t="shared" si="7"/>
        <v>0</v>
      </c>
      <c r="U49" s="680"/>
      <c r="V49" s="680"/>
      <c r="W49" s="680"/>
      <c r="X49" s="680"/>
      <c r="Y49" s="680"/>
      <c r="Z49" s="680"/>
      <c r="AA49" s="680"/>
    </row>
    <row r="50" spans="1:27" x14ac:dyDescent="0.2">
      <c r="A50" s="205"/>
      <c r="B50" s="599"/>
      <c r="C50" s="605"/>
      <c r="D50" s="606"/>
      <c r="E50" s="607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279" t="str">
        <f t="shared" si="8"/>
        <v/>
      </c>
      <c r="L50" s="179" t="str">
        <f t="shared" si="2"/>
        <v/>
      </c>
      <c r="M50" s="179"/>
      <c r="N50" s="182" t="str">
        <f t="shared" si="3"/>
        <v/>
      </c>
      <c r="O50" s="236"/>
      <c r="P50" s="679"/>
      <c r="Q50" s="679">
        <f t="shared" si="5"/>
        <v>0</v>
      </c>
      <c r="R50" s="679">
        <f t="shared" si="6"/>
        <v>0</v>
      </c>
      <c r="S50" s="679">
        <f t="shared" si="4"/>
        <v>0</v>
      </c>
      <c r="T50" s="679">
        <f t="shared" si="7"/>
        <v>0</v>
      </c>
      <c r="U50" s="680"/>
      <c r="V50" s="680"/>
      <c r="W50" s="680"/>
      <c r="X50" s="680"/>
      <c r="Y50" s="680"/>
      <c r="Z50" s="680"/>
      <c r="AA50" s="680"/>
    </row>
    <row r="51" spans="1:27" x14ac:dyDescent="0.2">
      <c r="A51" s="205"/>
      <c r="B51" s="599"/>
      <c r="C51" s="605"/>
      <c r="D51" s="606"/>
      <c r="E51" s="607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279" t="str">
        <f t="shared" si="8"/>
        <v/>
      </c>
      <c r="L51" s="179" t="str">
        <f t="shared" si="2"/>
        <v/>
      </c>
      <c r="M51" s="179"/>
      <c r="N51" s="182" t="str">
        <f t="shared" si="3"/>
        <v/>
      </c>
      <c r="O51" s="236"/>
      <c r="P51" s="679"/>
      <c r="Q51" s="679">
        <f t="shared" si="5"/>
        <v>0</v>
      </c>
      <c r="R51" s="679">
        <f t="shared" si="6"/>
        <v>0</v>
      </c>
      <c r="S51" s="679">
        <f t="shared" si="4"/>
        <v>0</v>
      </c>
      <c r="T51" s="679">
        <f t="shared" si="7"/>
        <v>0</v>
      </c>
      <c r="U51" s="680"/>
      <c r="V51" s="680"/>
      <c r="W51" s="680"/>
      <c r="X51" s="680"/>
      <c r="Y51" s="680"/>
      <c r="Z51" s="680"/>
      <c r="AA51" s="680"/>
    </row>
    <row r="52" spans="1:27" x14ac:dyDescent="0.2">
      <c r="A52" s="205"/>
      <c r="B52" s="599"/>
      <c r="C52" s="605"/>
      <c r="D52" s="606"/>
      <c r="E52" s="607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279" t="str">
        <f t="shared" si="8"/>
        <v/>
      </c>
      <c r="L52" s="179" t="str">
        <f t="shared" si="2"/>
        <v/>
      </c>
      <c r="M52" s="179"/>
      <c r="N52" s="182" t="str">
        <f t="shared" si="3"/>
        <v/>
      </c>
      <c r="O52" s="236"/>
      <c r="P52" s="679"/>
      <c r="Q52" s="679">
        <f t="shared" si="5"/>
        <v>0</v>
      </c>
      <c r="R52" s="679">
        <f t="shared" si="6"/>
        <v>0</v>
      </c>
      <c r="S52" s="679">
        <f t="shared" si="4"/>
        <v>0</v>
      </c>
      <c r="T52" s="679">
        <f t="shared" si="7"/>
        <v>0</v>
      </c>
      <c r="U52" s="680"/>
      <c r="V52" s="680"/>
      <c r="W52" s="680"/>
      <c r="X52" s="680"/>
      <c r="Y52" s="680"/>
      <c r="Z52" s="680"/>
      <c r="AA52" s="680"/>
    </row>
    <row r="53" spans="1:27" x14ac:dyDescent="0.2">
      <c r="A53" s="205"/>
      <c r="B53" s="599"/>
      <c r="C53" s="605"/>
      <c r="D53" s="606"/>
      <c r="E53" s="607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279" t="str">
        <f t="shared" si="8"/>
        <v/>
      </c>
      <c r="L53" s="179" t="str">
        <f t="shared" si="2"/>
        <v/>
      </c>
      <c r="M53" s="179"/>
      <c r="N53" s="182" t="str">
        <f t="shared" si="3"/>
        <v/>
      </c>
      <c r="O53" s="236"/>
      <c r="P53" s="679"/>
      <c r="Q53" s="679">
        <f t="shared" si="5"/>
        <v>0</v>
      </c>
      <c r="R53" s="679">
        <f t="shared" si="6"/>
        <v>0</v>
      </c>
      <c r="S53" s="679">
        <f t="shared" si="4"/>
        <v>0</v>
      </c>
      <c r="T53" s="679">
        <f t="shared" si="7"/>
        <v>0</v>
      </c>
      <c r="U53" s="680"/>
      <c r="V53" s="680"/>
      <c r="W53" s="680"/>
      <c r="X53" s="680"/>
      <c r="Y53" s="680"/>
      <c r="Z53" s="680"/>
      <c r="AA53" s="680"/>
    </row>
    <row r="54" spans="1:27" x14ac:dyDescent="0.2">
      <c r="A54" s="205"/>
      <c r="B54" s="599"/>
      <c r="C54" s="605"/>
      <c r="D54" s="606"/>
      <c r="E54" s="607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279" t="str">
        <f t="shared" si="8"/>
        <v/>
      </c>
      <c r="L54" s="179" t="str">
        <f t="shared" si="2"/>
        <v/>
      </c>
      <c r="M54" s="179"/>
      <c r="N54" s="182" t="str">
        <f t="shared" si="3"/>
        <v/>
      </c>
      <c r="O54" s="236"/>
      <c r="P54" s="679"/>
      <c r="Q54" s="679">
        <f t="shared" si="5"/>
        <v>0</v>
      </c>
      <c r="R54" s="679">
        <f t="shared" si="6"/>
        <v>0</v>
      </c>
      <c r="S54" s="679">
        <f t="shared" si="4"/>
        <v>0</v>
      </c>
      <c r="T54" s="679">
        <f t="shared" si="7"/>
        <v>0</v>
      </c>
      <c r="U54" s="680"/>
      <c r="V54" s="680"/>
      <c r="W54" s="680"/>
      <c r="X54" s="680"/>
      <c r="Y54" s="680"/>
      <c r="Z54" s="680"/>
      <c r="AA54" s="680"/>
    </row>
    <row r="55" spans="1:27" x14ac:dyDescent="0.2">
      <c r="A55" s="205"/>
      <c r="B55" s="599"/>
      <c r="C55" s="605"/>
      <c r="D55" s="606"/>
      <c r="E55" s="607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279" t="str">
        <f t="shared" si="8"/>
        <v/>
      </c>
      <c r="L55" s="179" t="str">
        <f t="shared" si="2"/>
        <v/>
      </c>
      <c r="M55" s="179"/>
      <c r="N55" s="182" t="str">
        <f t="shared" si="3"/>
        <v/>
      </c>
      <c r="O55" s="236"/>
      <c r="P55" s="679"/>
      <c r="Q55" s="679">
        <f t="shared" si="5"/>
        <v>0</v>
      </c>
      <c r="R55" s="679">
        <f t="shared" si="6"/>
        <v>0</v>
      </c>
      <c r="S55" s="679">
        <f t="shared" si="4"/>
        <v>0</v>
      </c>
      <c r="T55" s="679">
        <f t="shared" si="7"/>
        <v>0</v>
      </c>
      <c r="U55" s="680"/>
      <c r="V55" s="680"/>
      <c r="W55" s="680"/>
      <c r="X55" s="680"/>
      <c r="Y55" s="680"/>
      <c r="Z55" s="680"/>
      <c r="AA55" s="680"/>
    </row>
    <row r="56" spans="1:27" x14ac:dyDescent="0.2">
      <c r="A56" s="205"/>
      <c r="B56" s="599"/>
      <c r="C56" s="605"/>
      <c r="D56" s="606"/>
      <c r="E56" s="607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279" t="str">
        <f t="shared" si="8"/>
        <v/>
      </c>
      <c r="L56" s="179" t="str">
        <f t="shared" si="2"/>
        <v/>
      </c>
      <c r="M56" s="179"/>
      <c r="N56" s="182" t="str">
        <f t="shared" si="3"/>
        <v/>
      </c>
      <c r="O56" s="236"/>
      <c r="P56" s="679"/>
      <c r="Q56" s="679">
        <f t="shared" si="5"/>
        <v>0</v>
      </c>
      <c r="R56" s="679">
        <f t="shared" si="6"/>
        <v>0</v>
      </c>
      <c r="S56" s="679">
        <f t="shared" si="4"/>
        <v>0</v>
      </c>
      <c r="T56" s="679">
        <f t="shared" si="7"/>
        <v>0</v>
      </c>
      <c r="U56" s="680"/>
      <c r="V56" s="680"/>
      <c r="W56" s="680"/>
      <c r="X56" s="680"/>
      <c r="Y56" s="680"/>
      <c r="Z56" s="680"/>
      <c r="AA56" s="680"/>
    </row>
    <row r="57" spans="1:27" x14ac:dyDescent="0.2">
      <c r="A57" s="205"/>
      <c r="B57" s="599"/>
      <c r="C57" s="605"/>
      <c r="D57" s="606"/>
      <c r="E57" s="607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279" t="str">
        <f t="shared" si="8"/>
        <v/>
      </c>
      <c r="L57" s="179" t="str">
        <f t="shared" si="2"/>
        <v/>
      </c>
      <c r="M57" s="179"/>
      <c r="N57" s="182" t="str">
        <f t="shared" si="3"/>
        <v/>
      </c>
      <c r="O57" s="236"/>
      <c r="P57" s="679"/>
      <c r="Q57" s="679">
        <f t="shared" si="5"/>
        <v>0</v>
      </c>
      <c r="R57" s="679">
        <f t="shared" si="6"/>
        <v>0</v>
      </c>
      <c r="S57" s="679">
        <f t="shared" si="4"/>
        <v>0</v>
      </c>
      <c r="T57" s="679">
        <f t="shared" si="7"/>
        <v>0</v>
      </c>
      <c r="U57" s="680"/>
      <c r="V57" s="680"/>
      <c r="W57" s="680"/>
      <c r="X57" s="680"/>
      <c r="Y57" s="680"/>
      <c r="Z57" s="680"/>
      <c r="AA57" s="680"/>
    </row>
    <row r="58" spans="1:27" x14ac:dyDescent="0.2">
      <c r="A58" s="205"/>
      <c r="B58" s="599"/>
      <c r="C58" s="605"/>
      <c r="D58" s="606"/>
      <c r="E58" s="607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279" t="str">
        <f t="shared" si="8"/>
        <v/>
      </c>
      <c r="L58" s="179" t="str">
        <f t="shared" si="2"/>
        <v/>
      </c>
      <c r="M58" s="179"/>
      <c r="N58" s="182" t="str">
        <f t="shared" si="3"/>
        <v/>
      </c>
      <c r="O58" s="236"/>
      <c r="P58" s="679"/>
      <c r="Q58" s="679">
        <f t="shared" si="5"/>
        <v>0</v>
      </c>
      <c r="R58" s="679">
        <f t="shared" si="6"/>
        <v>0</v>
      </c>
      <c r="S58" s="679">
        <f t="shared" si="4"/>
        <v>0</v>
      </c>
      <c r="T58" s="679">
        <f t="shared" si="7"/>
        <v>0</v>
      </c>
      <c r="U58" s="680"/>
      <c r="V58" s="680"/>
      <c r="W58" s="680"/>
      <c r="X58" s="680"/>
      <c r="Y58" s="680"/>
      <c r="Z58" s="680"/>
      <c r="AA58" s="680"/>
    </row>
    <row r="59" spans="1:27" x14ac:dyDescent="0.2">
      <c r="A59" s="205"/>
      <c r="B59" s="599"/>
      <c r="C59" s="605"/>
      <c r="D59" s="606"/>
      <c r="E59" s="607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279" t="str">
        <f t="shared" si="8"/>
        <v/>
      </c>
      <c r="L59" s="179" t="str">
        <f t="shared" si="2"/>
        <v/>
      </c>
      <c r="M59" s="179"/>
      <c r="N59" s="182" t="str">
        <f t="shared" si="3"/>
        <v/>
      </c>
      <c r="O59" s="236"/>
      <c r="P59" s="679"/>
      <c r="Q59" s="679">
        <f t="shared" si="5"/>
        <v>0</v>
      </c>
      <c r="R59" s="679">
        <f t="shared" si="6"/>
        <v>0</v>
      </c>
      <c r="S59" s="679">
        <f t="shared" si="4"/>
        <v>0</v>
      </c>
      <c r="T59" s="679">
        <f t="shared" si="7"/>
        <v>0</v>
      </c>
      <c r="U59" s="680"/>
      <c r="V59" s="680"/>
      <c r="W59" s="680"/>
      <c r="X59" s="680"/>
      <c r="Y59" s="680"/>
      <c r="Z59" s="680"/>
      <c r="AA59" s="680"/>
    </row>
    <row r="60" spans="1:27" x14ac:dyDescent="0.2">
      <c r="A60" s="205"/>
      <c r="B60" s="599"/>
      <c r="C60" s="605"/>
      <c r="D60" s="606"/>
      <c r="E60" s="607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279" t="str">
        <f t="shared" si="8"/>
        <v/>
      </c>
      <c r="L60" s="179" t="str">
        <f t="shared" si="2"/>
        <v/>
      </c>
      <c r="M60" s="179"/>
      <c r="N60" s="182" t="str">
        <f t="shared" si="3"/>
        <v/>
      </c>
      <c r="O60" s="236"/>
      <c r="P60" s="679"/>
      <c r="Q60" s="679">
        <f t="shared" si="5"/>
        <v>0</v>
      </c>
      <c r="R60" s="679">
        <f t="shared" si="6"/>
        <v>0</v>
      </c>
      <c r="S60" s="679">
        <f t="shared" si="4"/>
        <v>0</v>
      </c>
      <c r="T60" s="679">
        <f t="shared" si="7"/>
        <v>0</v>
      </c>
      <c r="U60" s="680"/>
      <c r="V60" s="680"/>
      <c r="W60" s="680"/>
      <c r="X60" s="680"/>
      <c r="Y60" s="680"/>
      <c r="Z60" s="680"/>
      <c r="AA60" s="680"/>
    </row>
    <row r="61" spans="1:27" x14ac:dyDescent="0.2">
      <c r="A61" s="205"/>
      <c r="B61" s="599"/>
      <c r="C61" s="605"/>
      <c r="D61" s="606"/>
      <c r="E61" s="607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279" t="str">
        <f t="shared" si="8"/>
        <v/>
      </c>
      <c r="L61" s="179" t="str">
        <f t="shared" si="2"/>
        <v/>
      </c>
      <c r="M61" s="179"/>
      <c r="N61" s="182" t="str">
        <f t="shared" si="3"/>
        <v/>
      </c>
      <c r="O61" s="236"/>
      <c r="P61" s="679"/>
      <c r="Q61" s="679">
        <f t="shared" si="5"/>
        <v>0</v>
      </c>
      <c r="R61" s="679">
        <f t="shared" si="6"/>
        <v>0</v>
      </c>
      <c r="S61" s="679">
        <f t="shared" si="4"/>
        <v>0</v>
      </c>
      <c r="T61" s="679">
        <f t="shared" si="7"/>
        <v>0</v>
      </c>
      <c r="U61" s="680"/>
      <c r="V61" s="680"/>
      <c r="W61" s="680"/>
      <c r="X61" s="680"/>
      <c r="Y61" s="680"/>
      <c r="Z61" s="680"/>
      <c r="AA61" s="680"/>
    </row>
    <row r="62" spans="1:27" x14ac:dyDescent="0.2">
      <c r="A62" s="206"/>
      <c r="B62" s="600"/>
      <c r="C62" s="608"/>
      <c r="D62" s="609"/>
      <c r="E62" s="610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611"/>
      <c r="I62" s="239" t="str">
        <f t="shared" si="1"/>
        <v/>
      </c>
      <c r="J62" s="239"/>
      <c r="K62" s="279" t="str">
        <f t="shared" si="8"/>
        <v/>
      </c>
      <c r="L62" s="239" t="str">
        <f t="shared" si="2"/>
        <v/>
      </c>
      <c r="M62" s="239"/>
      <c r="N62" s="240" t="str">
        <f t="shared" si="3"/>
        <v/>
      </c>
      <c r="O62" s="237"/>
      <c r="P62" s="679"/>
      <c r="Q62" s="679">
        <f t="shared" si="5"/>
        <v>0</v>
      </c>
      <c r="R62" s="679">
        <f t="shared" si="6"/>
        <v>0</v>
      </c>
      <c r="S62" s="679">
        <f t="shared" si="4"/>
        <v>0</v>
      </c>
      <c r="T62" s="679">
        <f t="shared" si="7"/>
        <v>0</v>
      </c>
      <c r="U62" s="680"/>
      <c r="V62" s="680"/>
      <c r="W62" s="680"/>
      <c r="X62" s="680"/>
      <c r="Y62" s="680"/>
      <c r="Z62" s="680"/>
      <c r="AA62" s="680"/>
    </row>
    <row r="63" spans="1:27" x14ac:dyDescent="0.2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85"/>
      <c r="Q63" s="685"/>
      <c r="R63" s="685"/>
      <c r="S63" s="679"/>
      <c r="T63" s="680"/>
      <c r="U63" s="680"/>
      <c r="V63" s="680"/>
      <c r="W63" s="680"/>
      <c r="X63" s="680"/>
      <c r="Y63" s="680"/>
      <c r="Z63" s="680"/>
      <c r="AA63" s="680"/>
    </row>
    <row r="64" spans="1:27" x14ac:dyDescent="0.2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85"/>
      <c r="Q64" s="685"/>
      <c r="R64" s="685"/>
      <c r="S64" s="679"/>
      <c r="T64" s="680"/>
      <c r="U64" s="680"/>
      <c r="V64" s="680"/>
      <c r="W64" s="680"/>
      <c r="X64" s="680"/>
      <c r="Y64" s="680"/>
      <c r="Z64" s="680"/>
      <c r="AA64" s="680"/>
    </row>
    <row r="65" spans="1:27" x14ac:dyDescent="0.2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85"/>
      <c r="Q65" s="685"/>
      <c r="R65" s="685"/>
      <c r="S65" s="679"/>
      <c r="T65" s="680"/>
      <c r="U65" s="680"/>
      <c r="V65" s="680"/>
      <c r="W65" s="680"/>
      <c r="X65" s="680"/>
      <c r="Y65" s="680"/>
      <c r="Z65" s="680"/>
      <c r="AA65" s="680"/>
    </row>
    <row r="66" spans="1:27" x14ac:dyDescent="0.2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85"/>
      <c r="Q66" s="685"/>
      <c r="R66" s="685"/>
      <c r="S66" s="679"/>
      <c r="T66" s="680"/>
      <c r="U66" s="680"/>
      <c r="V66" s="680"/>
      <c r="W66" s="680"/>
      <c r="X66" s="680"/>
      <c r="Y66" s="680"/>
      <c r="Z66" s="680"/>
      <c r="AA66" s="680"/>
    </row>
    <row r="67" spans="1:27" x14ac:dyDescent="0.2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85"/>
      <c r="Q67" s="685"/>
      <c r="R67" s="685"/>
      <c r="S67" s="679"/>
      <c r="T67" s="680"/>
      <c r="U67" s="680"/>
      <c r="V67" s="680"/>
      <c r="W67" s="680"/>
      <c r="X67" s="680"/>
      <c r="Y67" s="680"/>
      <c r="Z67" s="680"/>
      <c r="AA67" s="680"/>
    </row>
    <row r="68" spans="1:27" x14ac:dyDescent="0.2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85"/>
      <c r="Q68" s="685"/>
      <c r="R68" s="685"/>
      <c r="S68" s="679"/>
      <c r="T68" s="680"/>
      <c r="U68" s="680"/>
      <c r="V68" s="680"/>
      <c r="W68" s="680"/>
      <c r="X68" s="680"/>
      <c r="Y68" s="680"/>
      <c r="Z68" s="680"/>
      <c r="AA68" s="680"/>
    </row>
    <row r="69" spans="1:27" x14ac:dyDescent="0.2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85"/>
      <c r="Q69" s="685"/>
      <c r="R69" s="685"/>
      <c r="S69" s="679"/>
      <c r="T69" s="680"/>
      <c r="U69" s="680"/>
      <c r="V69" s="680"/>
      <c r="W69" s="680"/>
      <c r="X69" s="680"/>
      <c r="Y69" s="680"/>
      <c r="Z69" s="680"/>
      <c r="AA69" s="680"/>
    </row>
    <row r="70" spans="1:27" x14ac:dyDescent="0.2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85"/>
      <c r="Q70" s="685"/>
      <c r="R70" s="685"/>
      <c r="S70" s="679"/>
      <c r="T70" s="680"/>
      <c r="U70" s="680"/>
      <c r="V70" s="680"/>
      <c r="W70" s="680"/>
      <c r="X70" s="680"/>
      <c r="Y70" s="680"/>
      <c r="Z70" s="680"/>
      <c r="AA70" s="680"/>
    </row>
    <row r="71" spans="1:27" x14ac:dyDescent="0.2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85"/>
      <c r="Q71" s="685"/>
      <c r="R71" s="685"/>
      <c r="S71" s="679"/>
      <c r="T71" s="680"/>
      <c r="U71" s="680"/>
      <c r="V71" s="680"/>
      <c r="W71" s="680"/>
      <c r="X71" s="680"/>
      <c r="Y71" s="680"/>
      <c r="Z71" s="680"/>
      <c r="AA71" s="680"/>
    </row>
    <row r="72" spans="1:27" x14ac:dyDescent="0.2">
      <c r="A72" s="915" t="s">
        <v>205</v>
      </c>
      <c r="B72" s="915"/>
      <c r="C72" s="916"/>
      <c r="D72" s="916"/>
      <c r="E72" s="916"/>
      <c r="F72" s="916"/>
      <c r="G72" s="916"/>
      <c r="H72" s="916"/>
      <c r="I72" s="916"/>
      <c r="J72" s="916"/>
      <c r="K72" s="916"/>
      <c r="L72" s="916"/>
      <c r="M72" s="916"/>
      <c r="N72" s="916"/>
      <c r="O72" s="207"/>
      <c r="P72" s="685"/>
      <c r="Q72" s="685"/>
      <c r="R72" s="685"/>
      <c r="S72" s="679"/>
      <c r="T72" s="680"/>
      <c r="U72" s="680"/>
      <c r="V72" s="680"/>
      <c r="W72" s="680"/>
      <c r="X72" s="680"/>
      <c r="Y72" s="680"/>
      <c r="Z72" s="680"/>
      <c r="AA72" s="680"/>
    </row>
    <row r="73" spans="1:27" x14ac:dyDescent="0.2">
      <c r="A73" s="915" t="s">
        <v>137</v>
      </c>
      <c r="B73" s="915"/>
      <c r="C73" s="916"/>
      <c r="D73" s="916"/>
      <c r="E73" s="916"/>
      <c r="F73" s="916"/>
      <c r="G73" s="916"/>
      <c r="H73" s="916"/>
      <c r="I73" s="916"/>
      <c r="J73" s="916"/>
      <c r="K73" s="916"/>
      <c r="L73" s="916"/>
      <c r="M73" s="916"/>
      <c r="N73" s="916"/>
      <c r="O73" s="207"/>
      <c r="P73" s="685"/>
      <c r="Q73" s="685"/>
      <c r="R73" s="685"/>
      <c r="S73" s="679"/>
      <c r="T73" s="680"/>
      <c r="U73" s="680"/>
      <c r="V73" s="680"/>
      <c r="W73" s="680"/>
      <c r="X73" s="680"/>
      <c r="Y73" s="680"/>
      <c r="Z73" s="680"/>
      <c r="AA73" s="680"/>
    </row>
    <row r="74" spans="1:27" x14ac:dyDescent="0.2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85"/>
      <c r="Q74" s="685"/>
      <c r="R74" s="685"/>
      <c r="S74" s="679"/>
      <c r="T74" s="680"/>
      <c r="U74" s="680"/>
      <c r="V74" s="680"/>
      <c r="W74" s="680"/>
      <c r="X74" s="680"/>
      <c r="Y74" s="680"/>
      <c r="Z74" s="680"/>
      <c r="AA74" s="680"/>
    </row>
    <row r="75" spans="1:27" x14ac:dyDescent="0.2">
      <c r="A75" s="207"/>
      <c r="B75" s="207"/>
      <c r="C75" s="208" t="s">
        <v>6</v>
      </c>
      <c r="D75" s="207"/>
      <c r="E75" s="207"/>
      <c r="F75" s="947" t="str">
        <f>D5</f>
        <v/>
      </c>
      <c r="G75" s="947"/>
      <c r="H75" s="947"/>
      <c r="I75" s="947"/>
      <c r="J75" s="947"/>
      <c r="K75" s="947"/>
      <c r="L75" s="207"/>
      <c r="M75" s="207"/>
      <c r="N75" s="207"/>
      <c r="O75" s="207"/>
      <c r="P75" s="685"/>
      <c r="Q75" s="685"/>
      <c r="R75" s="685"/>
      <c r="S75" s="679"/>
      <c r="T75" s="680"/>
      <c r="U75" s="680"/>
      <c r="V75" s="680"/>
      <c r="W75" s="680"/>
      <c r="X75" s="680"/>
      <c r="Y75" s="680"/>
      <c r="Z75" s="680"/>
      <c r="AA75" s="680"/>
    </row>
    <row r="76" spans="1:27" x14ac:dyDescent="0.2">
      <c r="A76" s="207"/>
      <c r="B76" s="207"/>
      <c r="C76" s="208" t="s">
        <v>8</v>
      </c>
      <c r="D76" s="207"/>
      <c r="E76" s="207"/>
      <c r="F76" s="925" t="str">
        <f>D6</f>
        <v/>
      </c>
      <c r="G76" s="925"/>
      <c r="H76" s="925"/>
      <c r="I76" s="925"/>
      <c r="J76" s="925"/>
      <c r="K76" s="925"/>
      <c r="L76" s="207"/>
      <c r="M76" s="207"/>
      <c r="N76" s="207"/>
      <c r="O76" s="207"/>
      <c r="P76" s="685"/>
      <c r="Q76" s="685"/>
      <c r="R76" s="685"/>
      <c r="S76" s="679"/>
      <c r="T76" s="680"/>
      <c r="U76" s="680"/>
      <c r="V76" s="680"/>
      <c r="W76" s="680"/>
      <c r="X76" s="680"/>
      <c r="Y76" s="680"/>
      <c r="Z76" s="680"/>
      <c r="AA76" s="680"/>
    </row>
    <row r="77" spans="1:27" x14ac:dyDescent="0.2">
      <c r="A77" s="207"/>
      <c r="B77" s="207"/>
      <c r="C77" s="208" t="s">
        <v>122</v>
      </c>
      <c r="D77" s="207"/>
      <c r="E77" s="207"/>
      <c r="F77" s="925" t="str">
        <f>D7</f>
        <v/>
      </c>
      <c r="G77" s="925"/>
      <c r="H77" s="925"/>
      <c r="I77" s="925"/>
      <c r="J77" s="925"/>
      <c r="K77" s="925"/>
      <c r="L77" s="207"/>
      <c r="M77" s="207"/>
      <c r="N77" s="207"/>
      <c r="O77" s="207"/>
      <c r="P77" s="685"/>
      <c r="Q77" s="685"/>
      <c r="R77" s="685"/>
      <c r="S77" s="679"/>
      <c r="T77" s="680"/>
      <c r="U77" s="680"/>
      <c r="V77" s="680"/>
      <c r="W77" s="680"/>
      <c r="X77" s="680"/>
      <c r="Y77" s="680"/>
      <c r="Z77" s="680"/>
      <c r="AA77" s="680"/>
    </row>
    <row r="78" spans="1:27" x14ac:dyDescent="0.2">
      <c r="A78" s="207"/>
      <c r="B78" s="207"/>
      <c r="C78" s="208" t="s">
        <v>10</v>
      </c>
      <c r="D78" s="207"/>
      <c r="E78" s="207"/>
      <c r="F78" s="925" t="str">
        <f>D8</f>
        <v/>
      </c>
      <c r="G78" s="925"/>
      <c r="H78" s="925"/>
      <c r="I78" s="925"/>
      <c r="J78" s="925"/>
      <c r="K78" s="925"/>
      <c r="L78" s="207"/>
      <c r="M78" s="207"/>
      <c r="N78" s="207"/>
      <c r="O78" s="207"/>
      <c r="P78" s="685"/>
      <c r="Q78" s="685"/>
      <c r="R78" s="685"/>
      <c r="S78" s="679"/>
      <c r="T78" s="680"/>
      <c r="U78" s="680"/>
      <c r="V78" s="680"/>
      <c r="W78" s="680"/>
      <c r="X78" s="680"/>
      <c r="Y78" s="680"/>
      <c r="Z78" s="680"/>
      <c r="AA78" s="680"/>
    </row>
    <row r="79" spans="1:27" x14ac:dyDescent="0.2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86" t="s">
        <v>42</v>
      </c>
      <c r="Q79" s="685"/>
      <c r="R79" s="685"/>
      <c r="S79" s="679"/>
      <c r="T79" s="680"/>
      <c r="U79" s="680"/>
      <c r="V79" s="680"/>
      <c r="W79" s="680"/>
      <c r="X79" s="680"/>
      <c r="Y79" s="680"/>
      <c r="Z79" s="680"/>
      <c r="AA79" s="680"/>
    </row>
    <row r="80" spans="1:27" x14ac:dyDescent="0.2">
      <c r="A80" s="100"/>
      <c r="B80" s="256" t="s">
        <v>208</v>
      </c>
      <c r="C80" s="850" t="s">
        <v>43</v>
      </c>
      <c r="D80" s="852"/>
      <c r="E80" s="852"/>
      <c r="F80" s="912"/>
      <c r="G80" s="101" t="s">
        <v>109</v>
      </c>
      <c r="H80" s="923"/>
      <c r="I80" s="924"/>
      <c r="J80" s="264" t="s">
        <v>208</v>
      </c>
      <c r="K80" s="102" t="s">
        <v>44</v>
      </c>
      <c r="L80" s="103"/>
      <c r="M80" s="103"/>
      <c r="N80" s="104"/>
      <c r="O80" s="84" t="s">
        <v>109</v>
      </c>
      <c r="P80" s="687" t="s">
        <v>45</v>
      </c>
      <c r="Q80" s="685"/>
      <c r="R80" s="685"/>
      <c r="S80" s="679"/>
      <c r="T80" s="680"/>
      <c r="U80" s="680"/>
      <c r="V80" s="680"/>
      <c r="W80" s="680"/>
      <c r="X80" s="680"/>
      <c r="Y80" s="680"/>
      <c r="Z80" s="680"/>
      <c r="AA80" s="680"/>
    </row>
    <row r="81" spans="1:27" x14ac:dyDescent="0.2">
      <c r="A81" s="105"/>
      <c r="B81" s="108" t="s">
        <v>210</v>
      </c>
      <c r="C81" s="106" t="s">
        <v>22</v>
      </c>
      <c r="D81" s="80"/>
      <c r="E81" s="80" t="s">
        <v>225</v>
      </c>
      <c r="F81" s="107"/>
      <c r="G81" s="80" t="s">
        <v>110</v>
      </c>
      <c r="H81" s="917"/>
      <c r="I81" s="918"/>
      <c r="J81" s="272" t="s">
        <v>210</v>
      </c>
      <c r="K81" s="108" t="str">
        <f>C81</f>
        <v>Salaries</v>
      </c>
      <c r="L81" s="80"/>
      <c r="M81" s="80" t="s">
        <v>225</v>
      </c>
      <c r="N81" s="107"/>
      <c r="O81" s="80" t="s">
        <v>110</v>
      </c>
      <c r="P81" s="688" t="s">
        <v>118</v>
      </c>
      <c r="Q81" s="685"/>
      <c r="R81" s="685"/>
      <c r="S81" s="679"/>
      <c r="T81" s="680"/>
      <c r="U81" s="680"/>
      <c r="V81" s="680"/>
      <c r="W81" s="680"/>
      <c r="X81" s="680"/>
      <c r="Y81" s="680"/>
      <c r="Z81" s="680"/>
      <c r="AA81" s="680"/>
    </row>
    <row r="82" spans="1:27" x14ac:dyDescent="0.2">
      <c r="A82" s="109" t="s">
        <v>32</v>
      </c>
      <c r="B82" s="109" t="s">
        <v>221</v>
      </c>
      <c r="C82" s="110" t="s">
        <v>34</v>
      </c>
      <c r="D82" s="111" t="s">
        <v>30</v>
      </c>
      <c r="E82" s="111" t="s">
        <v>226</v>
      </c>
      <c r="F82" s="112" t="s">
        <v>46</v>
      </c>
      <c r="G82" s="113" t="s">
        <v>33</v>
      </c>
      <c r="H82" s="917" t="s">
        <v>32</v>
      </c>
      <c r="I82" s="918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226</v>
      </c>
      <c r="N82" s="112" t="str">
        <f>F82</f>
        <v>Totals</v>
      </c>
      <c r="O82" s="113" t="s">
        <v>33</v>
      </c>
      <c r="P82" s="688" t="s">
        <v>47</v>
      </c>
      <c r="Q82" s="685"/>
      <c r="R82" s="685"/>
      <c r="S82" s="679"/>
      <c r="T82" s="680"/>
      <c r="U82" s="680"/>
      <c r="V82" s="680"/>
      <c r="W82" s="680"/>
      <c r="X82" s="680"/>
      <c r="Y82" s="680"/>
      <c r="Z82" s="680"/>
      <c r="AA82" s="680"/>
    </row>
    <row r="83" spans="1:27" ht="12.75" customHeight="1" x14ac:dyDescent="0.2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812" t="str">
        <f>IFERROR(IF(C83*0.35=0,"",C83*0.35),"")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913" t="str">
        <f t="shared" ref="H83:H122" si="14">IF(A23=0,"",A23)</f>
        <v/>
      </c>
      <c r="I83" s="926"/>
      <c r="J83" s="322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813" t="str">
        <f>IFERROR(IF(K83*0.35=0,"",K83*0.35),"")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89">
        <f>IF(AND(totalyrs&gt;1,totalyrs&lt;2),totalyrs-1,1)</f>
        <v>1</v>
      </c>
      <c r="Q83" s="690" t="s">
        <v>48</v>
      </c>
      <c r="R83" s="680"/>
      <c r="S83" s="680"/>
      <c r="T83" s="680"/>
      <c r="U83" s="680"/>
      <c r="V83" s="680"/>
      <c r="W83" s="685"/>
      <c r="X83" s="685"/>
      <c r="Y83" s="680"/>
      <c r="Z83" s="680"/>
      <c r="AA83" s="680"/>
    </row>
    <row r="84" spans="1:27" ht="12.75" customHeight="1" x14ac:dyDescent="0.2">
      <c r="A84" s="148" t="str">
        <f t="shared" si="9"/>
        <v/>
      </c>
      <c r="B84" s="594" t="str">
        <f t="shared" si="10"/>
        <v/>
      </c>
      <c r="C84" s="594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812" t="str">
        <f>IFERROR(IF(C84*0.35=0,"",C84*0.35),"")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913" t="str">
        <f t="shared" si="14"/>
        <v/>
      </c>
      <c r="I84" s="926"/>
      <c r="J84" s="322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813" t="str">
        <f t="shared" ref="L84:L122" si="19">IFERROR(IF(K84*0.35=0,"",K84*0.35),"")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89">
        <f>IF(AND(totalyrs&gt;2,totalyrs&lt;3),totalyrs-2,1)</f>
        <v>1</v>
      </c>
      <c r="Q84" s="690" t="s">
        <v>49</v>
      </c>
      <c r="R84" s="680"/>
      <c r="S84" s="680"/>
      <c r="T84" s="680"/>
      <c r="U84" s="680"/>
      <c r="V84" s="680"/>
      <c r="W84" s="685"/>
      <c r="X84" s="685"/>
      <c r="Y84" s="680"/>
      <c r="Z84" s="680"/>
      <c r="AA84" s="680"/>
    </row>
    <row r="85" spans="1:27" ht="12.6" customHeight="1" x14ac:dyDescent="0.2">
      <c r="A85" s="148" t="str">
        <f t="shared" si="9"/>
        <v/>
      </c>
      <c r="B85" s="594" t="str">
        <f t="shared" si="10"/>
        <v/>
      </c>
      <c r="C85" s="594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812" t="str">
        <f t="shared" ref="D85:D122" si="20">IFERROR(IF(C85*0.35=0,"",C85*0.35),"")</f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913" t="str">
        <f t="shared" si="14"/>
        <v/>
      </c>
      <c r="I85" s="926"/>
      <c r="J85" s="322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813" t="str">
        <f t="shared" si="19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88"/>
      <c r="Q85" s="685"/>
      <c r="R85" s="680"/>
      <c r="S85" s="680"/>
      <c r="T85" s="680"/>
      <c r="U85" s="680"/>
      <c r="V85" s="680"/>
      <c r="W85" s="685"/>
      <c r="X85" s="685"/>
      <c r="Y85" s="680"/>
      <c r="Z85" s="680"/>
      <c r="AA85" s="680"/>
    </row>
    <row r="86" spans="1:27" ht="12.75" customHeight="1" x14ac:dyDescent="0.2">
      <c r="A86" s="148" t="str">
        <f t="shared" si="9"/>
        <v/>
      </c>
      <c r="B86" s="594" t="str">
        <f t="shared" si="10"/>
        <v/>
      </c>
      <c r="C86" s="594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812" t="str">
        <f t="shared" si="20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913" t="str">
        <f t="shared" si="14"/>
        <v/>
      </c>
      <c r="I86" s="926"/>
      <c r="J86" s="322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813" t="str">
        <f t="shared" si="19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88"/>
      <c r="Q86" s="685"/>
      <c r="R86" s="680"/>
      <c r="S86" s="680"/>
      <c r="T86" s="680"/>
      <c r="U86" s="680"/>
      <c r="V86" s="680"/>
      <c r="W86" s="685"/>
      <c r="X86" s="685"/>
      <c r="Y86" s="680"/>
      <c r="Z86" s="680"/>
      <c r="AA86" s="680"/>
    </row>
    <row r="87" spans="1:27" ht="12.75" customHeight="1" x14ac:dyDescent="0.2">
      <c r="A87" s="148" t="str">
        <f t="shared" si="9"/>
        <v/>
      </c>
      <c r="B87" s="594" t="str">
        <f t="shared" si="10"/>
        <v/>
      </c>
      <c r="C87" s="594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812" t="str">
        <f t="shared" si="20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913" t="str">
        <f t="shared" si="14"/>
        <v/>
      </c>
      <c r="I87" s="926"/>
      <c r="J87" s="322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813" t="str">
        <f t="shared" si="19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88"/>
      <c r="Q87" s="685"/>
      <c r="R87" s="680"/>
      <c r="S87" s="680"/>
      <c r="T87" s="680"/>
      <c r="U87" s="680"/>
      <c r="V87" s="680"/>
      <c r="W87" s="685"/>
      <c r="X87" s="685"/>
      <c r="Y87" s="680"/>
      <c r="Z87" s="680"/>
      <c r="AA87" s="680"/>
    </row>
    <row r="88" spans="1:27" ht="12.75" customHeight="1" x14ac:dyDescent="0.2">
      <c r="A88" s="148" t="str">
        <f t="shared" si="9"/>
        <v/>
      </c>
      <c r="B88" s="594" t="str">
        <f t="shared" si="10"/>
        <v/>
      </c>
      <c r="C88" s="594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812" t="str">
        <f t="shared" si="20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913" t="str">
        <f t="shared" si="14"/>
        <v/>
      </c>
      <c r="I88" s="926"/>
      <c r="J88" s="322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813" t="str">
        <f t="shared" si="19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88"/>
      <c r="Q88" s="685"/>
      <c r="R88" s="680"/>
      <c r="S88" s="680"/>
      <c r="T88" s="680"/>
      <c r="U88" s="680"/>
      <c r="V88" s="680"/>
      <c r="W88" s="685"/>
      <c r="X88" s="685"/>
      <c r="Y88" s="680"/>
      <c r="Z88" s="680"/>
      <c r="AA88" s="680"/>
    </row>
    <row r="89" spans="1:27" ht="12.75" customHeight="1" x14ac:dyDescent="0.2">
      <c r="A89" s="148" t="str">
        <f t="shared" si="9"/>
        <v/>
      </c>
      <c r="B89" s="594" t="str">
        <f t="shared" si="10"/>
        <v/>
      </c>
      <c r="C89" s="594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812" t="str">
        <f t="shared" si="20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913" t="str">
        <f t="shared" si="14"/>
        <v/>
      </c>
      <c r="I89" s="926"/>
      <c r="J89" s="322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813" t="str">
        <f t="shared" si="19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88"/>
      <c r="Q89" s="685"/>
      <c r="R89" s="691"/>
      <c r="S89" s="680"/>
      <c r="T89" s="680"/>
      <c r="U89" s="680"/>
      <c r="V89" s="680"/>
      <c r="W89" s="685"/>
      <c r="X89" s="685"/>
      <c r="Y89" s="680"/>
      <c r="Z89" s="680"/>
      <c r="AA89" s="680"/>
    </row>
    <row r="90" spans="1:27" ht="12.75" customHeight="1" x14ac:dyDescent="0.2">
      <c r="A90" s="148" t="str">
        <f t="shared" si="9"/>
        <v/>
      </c>
      <c r="B90" s="594" t="str">
        <f t="shared" si="10"/>
        <v/>
      </c>
      <c r="C90" s="594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812" t="str">
        <f t="shared" si="20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913" t="str">
        <f t="shared" si="14"/>
        <v/>
      </c>
      <c r="I90" s="926"/>
      <c r="J90" s="322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813" t="str">
        <f t="shared" si="19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88"/>
      <c r="Q90" s="685"/>
      <c r="R90" s="691"/>
      <c r="S90" s="680"/>
      <c r="T90" s="680"/>
      <c r="U90" s="680"/>
      <c r="V90" s="680"/>
      <c r="W90" s="685"/>
      <c r="X90" s="685"/>
      <c r="Y90" s="680"/>
      <c r="Z90" s="680"/>
      <c r="AA90" s="680"/>
    </row>
    <row r="91" spans="1:27" ht="12.75" customHeight="1" x14ac:dyDescent="0.2">
      <c r="A91" s="148" t="str">
        <f t="shared" si="9"/>
        <v/>
      </c>
      <c r="B91" s="594" t="str">
        <f t="shared" si="10"/>
        <v/>
      </c>
      <c r="C91" s="594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812" t="str">
        <f t="shared" si="20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913" t="str">
        <f t="shared" si="14"/>
        <v/>
      </c>
      <c r="I91" s="926"/>
      <c r="J91" s="322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813" t="str">
        <f t="shared" si="19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88"/>
      <c r="Q91" s="685"/>
      <c r="R91" s="680"/>
      <c r="S91" s="680"/>
      <c r="T91" s="680"/>
      <c r="U91" s="680"/>
      <c r="V91" s="680"/>
      <c r="W91" s="685"/>
      <c r="X91" s="685"/>
      <c r="Y91" s="680"/>
      <c r="Z91" s="680"/>
      <c r="AA91" s="680"/>
    </row>
    <row r="92" spans="1:27" ht="12.75" customHeight="1" x14ac:dyDescent="0.2">
      <c r="A92" s="148" t="str">
        <f t="shared" si="9"/>
        <v/>
      </c>
      <c r="B92" s="594" t="str">
        <f t="shared" si="10"/>
        <v/>
      </c>
      <c r="C92" s="594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812" t="str">
        <f t="shared" si="20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913" t="str">
        <f t="shared" si="14"/>
        <v/>
      </c>
      <c r="I92" s="926"/>
      <c r="J92" s="322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813" t="str">
        <f t="shared" si="19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88"/>
      <c r="Q92" s="685"/>
      <c r="R92" s="680"/>
      <c r="S92" s="680"/>
      <c r="T92" s="680"/>
      <c r="U92" s="680"/>
      <c r="V92" s="680"/>
      <c r="W92" s="685"/>
      <c r="X92" s="685"/>
      <c r="Y92" s="680"/>
      <c r="Z92" s="680"/>
      <c r="AA92" s="680"/>
    </row>
    <row r="93" spans="1:27" ht="12.75" customHeight="1" x14ac:dyDescent="0.2">
      <c r="A93" s="148" t="str">
        <f t="shared" si="9"/>
        <v/>
      </c>
      <c r="B93" s="594" t="str">
        <f t="shared" si="10"/>
        <v/>
      </c>
      <c r="C93" s="594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812" t="str">
        <f t="shared" si="20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913" t="str">
        <f t="shared" si="14"/>
        <v/>
      </c>
      <c r="I93" s="926"/>
      <c r="J93" s="322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813" t="str">
        <f t="shared" si="19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92"/>
      <c r="Q93" s="685"/>
      <c r="R93" s="680"/>
      <c r="S93" s="680"/>
      <c r="T93" s="680"/>
      <c r="U93" s="680"/>
      <c r="V93" s="680"/>
      <c r="W93" s="685"/>
      <c r="X93" s="685"/>
      <c r="Y93" s="680"/>
      <c r="Z93" s="680"/>
      <c r="AA93" s="680"/>
    </row>
    <row r="94" spans="1:27" ht="12.75" customHeight="1" x14ac:dyDescent="0.2">
      <c r="A94" s="148" t="str">
        <f t="shared" si="9"/>
        <v/>
      </c>
      <c r="B94" s="594" t="str">
        <f t="shared" si="10"/>
        <v/>
      </c>
      <c r="C94" s="594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812" t="str">
        <f t="shared" si="20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913" t="str">
        <f t="shared" si="14"/>
        <v/>
      </c>
      <c r="I94" s="926"/>
      <c r="J94" s="322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813" t="str">
        <f t="shared" si="19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93"/>
      <c r="Q94" s="693"/>
      <c r="R94" s="680"/>
      <c r="S94" s="680"/>
      <c r="T94" s="680"/>
      <c r="U94" s="680"/>
      <c r="V94" s="680"/>
      <c r="W94" s="685"/>
      <c r="X94" s="685"/>
      <c r="Y94" s="680"/>
      <c r="Z94" s="680"/>
      <c r="AA94" s="680"/>
    </row>
    <row r="95" spans="1:27" ht="12.75" customHeight="1" x14ac:dyDescent="0.2">
      <c r="A95" s="148" t="str">
        <f t="shared" si="9"/>
        <v/>
      </c>
      <c r="B95" s="594" t="str">
        <f t="shared" si="10"/>
        <v/>
      </c>
      <c r="C95" s="594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812" t="str">
        <f t="shared" si="20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913" t="str">
        <f t="shared" si="14"/>
        <v/>
      </c>
      <c r="I95" s="926"/>
      <c r="J95" s="322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813" t="str">
        <f t="shared" si="19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93"/>
      <c r="Q95" s="693"/>
      <c r="R95" s="680"/>
      <c r="S95" s="680"/>
      <c r="T95" s="680"/>
      <c r="U95" s="680"/>
      <c r="V95" s="680"/>
      <c r="W95" s="685"/>
      <c r="X95" s="685"/>
      <c r="Y95" s="680"/>
      <c r="Z95" s="680"/>
      <c r="AA95" s="680"/>
    </row>
    <row r="96" spans="1:27" ht="12.75" customHeight="1" x14ac:dyDescent="0.2">
      <c r="A96" s="148" t="str">
        <f t="shared" si="9"/>
        <v/>
      </c>
      <c r="B96" s="594" t="str">
        <f t="shared" si="10"/>
        <v/>
      </c>
      <c r="C96" s="594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812" t="str">
        <f t="shared" si="20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913" t="str">
        <f t="shared" si="14"/>
        <v/>
      </c>
      <c r="I96" s="926"/>
      <c r="J96" s="322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813" t="str">
        <f t="shared" si="19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85"/>
      <c r="Q96" s="685"/>
      <c r="R96" s="680"/>
      <c r="S96" s="680"/>
      <c r="T96" s="680"/>
      <c r="U96" s="680"/>
      <c r="V96" s="680"/>
      <c r="W96" s="685"/>
      <c r="X96" s="685"/>
      <c r="Y96" s="680"/>
      <c r="Z96" s="680"/>
      <c r="AA96" s="680"/>
    </row>
    <row r="97" spans="1:27" ht="12.75" customHeight="1" x14ac:dyDescent="0.2">
      <c r="A97" s="148" t="str">
        <f t="shared" si="9"/>
        <v/>
      </c>
      <c r="B97" s="594" t="str">
        <f t="shared" si="10"/>
        <v/>
      </c>
      <c r="C97" s="594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812" t="str">
        <f t="shared" si="20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913" t="str">
        <f t="shared" si="14"/>
        <v/>
      </c>
      <c r="I97" s="926"/>
      <c r="J97" s="322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813" t="str">
        <f t="shared" si="19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85"/>
      <c r="Q97" s="685"/>
      <c r="R97" s="680"/>
      <c r="S97" s="680"/>
      <c r="T97" s="680"/>
      <c r="U97" s="680"/>
      <c r="V97" s="680"/>
      <c r="W97" s="685"/>
      <c r="X97" s="685"/>
      <c r="Y97" s="680"/>
      <c r="Z97" s="680"/>
      <c r="AA97" s="680"/>
    </row>
    <row r="98" spans="1:27" ht="12.75" customHeight="1" x14ac:dyDescent="0.2">
      <c r="A98" s="148" t="str">
        <f t="shared" si="9"/>
        <v/>
      </c>
      <c r="B98" s="594" t="str">
        <f t="shared" si="10"/>
        <v/>
      </c>
      <c r="C98" s="594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812" t="str">
        <f t="shared" si="20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913" t="str">
        <f t="shared" si="14"/>
        <v/>
      </c>
      <c r="I98" s="926"/>
      <c r="J98" s="322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813" t="str">
        <f t="shared" si="19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85"/>
      <c r="Q98" s="685"/>
      <c r="R98" s="680"/>
      <c r="S98" s="680"/>
      <c r="T98" s="680"/>
      <c r="U98" s="680"/>
      <c r="V98" s="680"/>
      <c r="W98" s="685"/>
      <c r="X98" s="685"/>
      <c r="Y98" s="680"/>
      <c r="Z98" s="680"/>
      <c r="AA98" s="680"/>
    </row>
    <row r="99" spans="1:27" ht="12.75" customHeight="1" x14ac:dyDescent="0.2">
      <c r="A99" s="148" t="str">
        <f t="shared" si="9"/>
        <v/>
      </c>
      <c r="B99" s="594" t="str">
        <f t="shared" si="10"/>
        <v/>
      </c>
      <c r="C99" s="594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812" t="str">
        <f t="shared" si="20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913" t="str">
        <f t="shared" si="14"/>
        <v/>
      </c>
      <c r="I99" s="926"/>
      <c r="J99" s="322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813" t="str">
        <f t="shared" si="19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85"/>
      <c r="Q99" s="685"/>
      <c r="R99" s="680"/>
      <c r="S99" s="680"/>
      <c r="T99" s="680"/>
      <c r="U99" s="680"/>
      <c r="V99" s="680"/>
      <c r="W99" s="685"/>
      <c r="X99" s="685"/>
      <c r="Y99" s="680"/>
      <c r="Z99" s="680"/>
      <c r="AA99" s="680"/>
    </row>
    <row r="100" spans="1:27" ht="12.75" customHeight="1" x14ac:dyDescent="0.2">
      <c r="A100" s="148" t="str">
        <f t="shared" si="9"/>
        <v/>
      </c>
      <c r="B100" s="594" t="str">
        <f t="shared" si="10"/>
        <v/>
      </c>
      <c r="C100" s="594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812" t="str">
        <f t="shared" si="20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913" t="str">
        <f t="shared" si="14"/>
        <v/>
      </c>
      <c r="I100" s="926"/>
      <c r="J100" s="322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813" t="str">
        <f t="shared" si="19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85"/>
      <c r="Q100" s="685"/>
      <c r="R100" s="680"/>
      <c r="S100" s="680"/>
      <c r="T100" s="680"/>
      <c r="U100" s="680"/>
      <c r="V100" s="680"/>
      <c r="W100" s="685"/>
      <c r="X100" s="685"/>
      <c r="Y100" s="680"/>
      <c r="Z100" s="680"/>
      <c r="AA100" s="680"/>
    </row>
    <row r="101" spans="1:27" ht="12.75" customHeight="1" x14ac:dyDescent="0.2">
      <c r="A101" s="148" t="str">
        <f t="shared" si="9"/>
        <v/>
      </c>
      <c r="B101" s="594" t="str">
        <f t="shared" si="10"/>
        <v/>
      </c>
      <c r="C101" s="594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812" t="str">
        <f t="shared" si="20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913" t="str">
        <f t="shared" si="14"/>
        <v/>
      </c>
      <c r="I101" s="926"/>
      <c r="J101" s="322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813" t="str">
        <f t="shared" si="19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85"/>
      <c r="Q101" s="685"/>
      <c r="R101" s="680"/>
      <c r="S101" s="680"/>
      <c r="T101" s="680"/>
      <c r="U101" s="680"/>
      <c r="V101" s="680"/>
      <c r="W101" s="685"/>
      <c r="X101" s="685"/>
      <c r="Y101" s="680"/>
      <c r="Z101" s="680"/>
      <c r="AA101" s="680"/>
    </row>
    <row r="102" spans="1:27" ht="12.75" customHeight="1" x14ac:dyDescent="0.2">
      <c r="A102" s="148" t="str">
        <f t="shared" si="9"/>
        <v/>
      </c>
      <c r="B102" s="594" t="str">
        <f t="shared" si="10"/>
        <v/>
      </c>
      <c r="C102" s="594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812" t="str">
        <f t="shared" si="20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913" t="str">
        <f t="shared" si="14"/>
        <v/>
      </c>
      <c r="I102" s="926"/>
      <c r="J102" s="322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813" t="str">
        <f t="shared" si="19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85"/>
      <c r="Q102" s="685"/>
      <c r="R102" s="680"/>
      <c r="S102" s="680"/>
      <c r="T102" s="680"/>
      <c r="U102" s="680"/>
      <c r="V102" s="680"/>
      <c r="W102" s="685"/>
      <c r="X102" s="685"/>
      <c r="Y102" s="680"/>
      <c r="Z102" s="680"/>
      <c r="AA102" s="680"/>
    </row>
    <row r="103" spans="1:27" ht="12.75" customHeight="1" x14ac:dyDescent="0.2">
      <c r="A103" s="148" t="str">
        <f t="shared" si="9"/>
        <v/>
      </c>
      <c r="B103" s="594" t="str">
        <f t="shared" si="10"/>
        <v/>
      </c>
      <c r="C103" s="594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812" t="str">
        <f t="shared" si="20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913" t="str">
        <f t="shared" si="14"/>
        <v/>
      </c>
      <c r="I103" s="926"/>
      <c r="J103" s="322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813" t="str">
        <f t="shared" si="19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85"/>
      <c r="Q103" s="685"/>
      <c r="R103" s="680"/>
      <c r="S103" s="680"/>
      <c r="T103" s="680"/>
      <c r="U103" s="680"/>
      <c r="V103" s="680"/>
      <c r="W103" s="685"/>
      <c r="X103" s="685"/>
      <c r="Y103" s="680"/>
      <c r="Z103" s="680"/>
      <c r="AA103" s="680"/>
    </row>
    <row r="104" spans="1:27" ht="12.75" customHeight="1" x14ac:dyDescent="0.2">
      <c r="A104" s="148" t="str">
        <f t="shared" si="9"/>
        <v/>
      </c>
      <c r="B104" s="594" t="str">
        <f t="shared" si="10"/>
        <v/>
      </c>
      <c r="C104" s="594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812" t="str">
        <f t="shared" si="20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913" t="str">
        <f t="shared" si="14"/>
        <v/>
      </c>
      <c r="I104" s="926"/>
      <c r="J104" s="322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813" t="str">
        <f t="shared" si="19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85"/>
      <c r="Q104" s="685"/>
      <c r="R104" s="680"/>
      <c r="S104" s="680"/>
      <c r="T104" s="680"/>
      <c r="U104" s="680"/>
      <c r="V104" s="680"/>
      <c r="W104" s="685"/>
      <c r="X104" s="685"/>
      <c r="Y104" s="680"/>
      <c r="Z104" s="680"/>
      <c r="AA104" s="680"/>
    </row>
    <row r="105" spans="1:27" ht="12.75" customHeight="1" x14ac:dyDescent="0.2">
      <c r="A105" s="148" t="str">
        <f t="shared" si="9"/>
        <v/>
      </c>
      <c r="B105" s="594" t="str">
        <f t="shared" si="10"/>
        <v/>
      </c>
      <c r="C105" s="594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812" t="str">
        <f t="shared" si="20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913" t="str">
        <f t="shared" si="14"/>
        <v/>
      </c>
      <c r="I105" s="926"/>
      <c r="J105" s="322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813" t="str">
        <f t="shared" si="19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85"/>
      <c r="Q105" s="685"/>
      <c r="R105" s="680"/>
      <c r="S105" s="680"/>
      <c r="T105" s="680"/>
      <c r="U105" s="680"/>
      <c r="V105" s="680"/>
      <c r="W105" s="685"/>
      <c r="X105" s="685"/>
      <c r="Y105" s="680"/>
      <c r="Z105" s="680"/>
      <c r="AA105" s="680"/>
    </row>
    <row r="106" spans="1:27" ht="12.75" customHeight="1" x14ac:dyDescent="0.2">
      <c r="A106" s="148" t="str">
        <f t="shared" si="9"/>
        <v/>
      </c>
      <c r="B106" s="594" t="str">
        <f t="shared" si="10"/>
        <v/>
      </c>
      <c r="C106" s="594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812" t="str">
        <f t="shared" si="20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913" t="str">
        <f t="shared" si="14"/>
        <v/>
      </c>
      <c r="I106" s="926"/>
      <c r="J106" s="322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813" t="str">
        <f t="shared" si="19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85"/>
      <c r="Q106" s="685"/>
      <c r="R106" s="680"/>
      <c r="S106" s="680"/>
      <c r="T106" s="680"/>
      <c r="U106" s="680"/>
      <c r="V106" s="680"/>
      <c r="W106" s="685"/>
      <c r="X106" s="685"/>
      <c r="Y106" s="680"/>
      <c r="Z106" s="680"/>
      <c r="AA106" s="680"/>
    </row>
    <row r="107" spans="1:27" ht="12.75" customHeight="1" x14ac:dyDescent="0.2">
      <c r="A107" s="148" t="str">
        <f t="shared" si="9"/>
        <v/>
      </c>
      <c r="B107" s="594" t="str">
        <f t="shared" si="10"/>
        <v/>
      </c>
      <c r="C107" s="594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812" t="str">
        <f t="shared" si="20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913" t="str">
        <f t="shared" si="14"/>
        <v/>
      </c>
      <c r="I107" s="926"/>
      <c r="J107" s="322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813" t="str">
        <f t="shared" si="19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85"/>
      <c r="Q107" s="685"/>
      <c r="R107" s="680"/>
      <c r="S107" s="680"/>
      <c r="T107" s="680"/>
      <c r="U107" s="680"/>
      <c r="V107" s="680"/>
      <c r="W107" s="685"/>
      <c r="X107" s="685"/>
      <c r="Y107" s="680"/>
      <c r="Z107" s="680"/>
      <c r="AA107" s="680"/>
    </row>
    <row r="108" spans="1:27" ht="12.75" customHeight="1" x14ac:dyDescent="0.2">
      <c r="A108" s="148" t="str">
        <f t="shared" si="9"/>
        <v/>
      </c>
      <c r="B108" s="594" t="str">
        <f t="shared" si="10"/>
        <v/>
      </c>
      <c r="C108" s="594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812" t="str">
        <f t="shared" si="20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913" t="str">
        <f t="shared" si="14"/>
        <v/>
      </c>
      <c r="I108" s="926"/>
      <c r="J108" s="322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813" t="str">
        <f t="shared" si="19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85"/>
      <c r="Q108" s="685"/>
      <c r="R108" s="680"/>
      <c r="S108" s="680"/>
      <c r="T108" s="680"/>
      <c r="U108" s="680"/>
      <c r="V108" s="680"/>
      <c r="W108" s="685"/>
      <c r="X108" s="685"/>
      <c r="Y108" s="680"/>
      <c r="Z108" s="680"/>
      <c r="AA108" s="680"/>
    </row>
    <row r="109" spans="1:27" ht="12.75" customHeight="1" x14ac:dyDescent="0.2">
      <c r="A109" s="148" t="str">
        <f t="shared" si="9"/>
        <v/>
      </c>
      <c r="B109" s="594" t="str">
        <f t="shared" si="10"/>
        <v/>
      </c>
      <c r="C109" s="594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812" t="str">
        <f t="shared" si="20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913" t="str">
        <f t="shared" si="14"/>
        <v/>
      </c>
      <c r="I109" s="926"/>
      <c r="J109" s="322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813" t="str">
        <f t="shared" si="19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85"/>
      <c r="Q109" s="685"/>
      <c r="R109" s="680"/>
      <c r="S109" s="680"/>
      <c r="T109" s="680"/>
      <c r="U109" s="680"/>
      <c r="V109" s="680"/>
      <c r="W109" s="685"/>
      <c r="X109" s="685"/>
      <c r="Y109" s="680"/>
      <c r="Z109" s="680"/>
      <c r="AA109" s="680"/>
    </row>
    <row r="110" spans="1:27" ht="12.75" customHeight="1" x14ac:dyDescent="0.2">
      <c r="A110" s="148" t="str">
        <f t="shared" si="9"/>
        <v/>
      </c>
      <c r="B110" s="594" t="str">
        <f t="shared" si="10"/>
        <v/>
      </c>
      <c r="C110" s="594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812" t="str">
        <f t="shared" si="20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913" t="str">
        <f t="shared" si="14"/>
        <v/>
      </c>
      <c r="I110" s="926"/>
      <c r="J110" s="322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813" t="str">
        <f t="shared" si="19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85"/>
      <c r="Q110" s="685"/>
      <c r="R110" s="680"/>
      <c r="S110" s="680"/>
      <c r="T110" s="680"/>
      <c r="U110" s="680"/>
      <c r="V110" s="680"/>
      <c r="W110" s="685"/>
      <c r="X110" s="685"/>
      <c r="Y110" s="680"/>
      <c r="Z110" s="680"/>
      <c r="AA110" s="680"/>
    </row>
    <row r="111" spans="1:27" ht="12.75" customHeight="1" x14ac:dyDescent="0.2">
      <c r="A111" s="148" t="str">
        <f t="shared" si="9"/>
        <v/>
      </c>
      <c r="B111" s="594" t="str">
        <f t="shared" si="10"/>
        <v/>
      </c>
      <c r="C111" s="594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812" t="str">
        <f t="shared" si="20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913" t="str">
        <f t="shared" si="14"/>
        <v/>
      </c>
      <c r="I111" s="926"/>
      <c r="J111" s="322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813" t="str">
        <f t="shared" si="19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85"/>
      <c r="Q111" s="685"/>
      <c r="R111" s="680"/>
      <c r="S111" s="680"/>
      <c r="T111" s="680"/>
      <c r="U111" s="680"/>
      <c r="V111" s="680"/>
      <c r="W111" s="685"/>
      <c r="X111" s="685"/>
      <c r="Y111" s="680"/>
      <c r="Z111" s="680"/>
      <c r="AA111" s="680"/>
    </row>
    <row r="112" spans="1:27" ht="12.75" customHeight="1" x14ac:dyDescent="0.2">
      <c r="A112" s="148" t="str">
        <f t="shared" si="9"/>
        <v/>
      </c>
      <c r="B112" s="594" t="str">
        <f t="shared" si="10"/>
        <v/>
      </c>
      <c r="C112" s="594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812" t="str">
        <f t="shared" si="20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913" t="str">
        <f t="shared" si="14"/>
        <v/>
      </c>
      <c r="I112" s="926"/>
      <c r="J112" s="322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813" t="str">
        <f t="shared" si="19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85"/>
      <c r="Q112" s="685"/>
      <c r="R112" s="680"/>
      <c r="S112" s="680"/>
      <c r="T112" s="680"/>
      <c r="U112" s="680"/>
      <c r="V112" s="680"/>
      <c r="W112" s="685"/>
      <c r="X112" s="685"/>
      <c r="Y112" s="680"/>
      <c r="Z112" s="680"/>
      <c r="AA112" s="680"/>
    </row>
    <row r="113" spans="1:27" ht="12.75" customHeight="1" x14ac:dyDescent="0.2">
      <c r="A113" s="148" t="str">
        <f t="shared" si="9"/>
        <v/>
      </c>
      <c r="B113" s="594" t="str">
        <f t="shared" si="10"/>
        <v/>
      </c>
      <c r="C113" s="594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812" t="str">
        <f t="shared" si="20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913" t="str">
        <f t="shared" si="14"/>
        <v/>
      </c>
      <c r="I113" s="926"/>
      <c r="J113" s="322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813" t="str">
        <f t="shared" si="19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85"/>
      <c r="Q113" s="685"/>
      <c r="R113" s="680"/>
      <c r="S113" s="680"/>
      <c r="T113" s="680"/>
      <c r="U113" s="680"/>
      <c r="V113" s="680"/>
      <c r="W113" s="685"/>
      <c r="X113" s="685"/>
      <c r="Y113" s="680"/>
      <c r="Z113" s="680"/>
      <c r="AA113" s="680"/>
    </row>
    <row r="114" spans="1:27" ht="12.75" customHeight="1" x14ac:dyDescent="0.2">
      <c r="A114" s="148" t="str">
        <f t="shared" si="9"/>
        <v/>
      </c>
      <c r="B114" s="594" t="str">
        <f t="shared" si="10"/>
        <v/>
      </c>
      <c r="C114" s="594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812" t="str">
        <f t="shared" si="20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913" t="str">
        <f t="shared" si="14"/>
        <v/>
      </c>
      <c r="I114" s="926"/>
      <c r="J114" s="322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813" t="str">
        <f t="shared" si="19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85"/>
      <c r="Q114" s="685"/>
      <c r="R114" s="680"/>
      <c r="S114" s="680"/>
      <c r="T114" s="680"/>
      <c r="U114" s="680"/>
      <c r="V114" s="680"/>
      <c r="W114" s="685"/>
      <c r="X114" s="685"/>
      <c r="Y114" s="680"/>
      <c r="Z114" s="680"/>
      <c r="AA114" s="680"/>
    </row>
    <row r="115" spans="1:27" ht="12.75" customHeight="1" x14ac:dyDescent="0.2">
      <c r="A115" s="148" t="str">
        <f t="shared" si="9"/>
        <v/>
      </c>
      <c r="B115" s="594" t="str">
        <f t="shared" si="10"/>
        <v/>
      </c>
      <c r="C115" s="594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812" t="str">
        <f t="shared" si="20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913" t="str">
        <f t="shared" si="14"/>
        <v/>
      </c>
      <c r="I115" s="926"/>
      <c r="J115" s="322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813" t="str">
        <f t="shared" si="19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85"/>
      <c r="Q115" s="685"/>
      <c r="R115" s="680"/>
      <c r="S115" s="680"/>
      <c r="T115" s="680"/>
      <c r="U115" s="680"/>
      <c r="V115" s="680"/>
      <c r="W115" s="685"/>
      <c r="X115" s="685"/>
      <c r="Y115" s="680"/>
      <c r="Z115" s="680"/>
      <c r="AA115" s="680"/>
    </row>
    <row r="116" spans="1:27" ht="12.75" customHeight="1" x14ac:dyDescent="0.2">
      <c r="A116" s="148" t="str">
        <f t="shared" si="9"/>
        <v/>
      </c>
      <c r="B116" s="594" t="str">
        <f t="shared" si="10"/>
        <v/>
      </c>
      <c r="C116" s="594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812" t="str">
        <f t="shared" si="20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913" t="str">
        <f t="shared" si="14"/>
        <v/>
      </c>
      <c r="I116" s="926"/>
      <c r="J116" s="322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813" t="str">
        <f t="shared" si="19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85"/>
      <c r="Q116" s="685"/>
      <c r="R116" s="680"/>
      <c r="S116" s="680"/>
      <c r="T116" s="680"/>
      <c r="U116" s="680"/>
      <c r="V116" s="680"/>
      <c r="W116" s="685"/>
      <c r="X116" s="685"/>
      <c r="Y116" s="680"/>
      <c r="Z116" s="680"/>
      <c r="AA116" s="680"/>
    </row>
    <row r="117" spans="1:27" ht="12.75" customHeight="1" x14ac:dyDescent="0.2">
      <c r="A117" s="148" t="str">
        <f t="shared" si="9"/>
        <v/>
      </c>
      <c r="B117" s="594" t="str">
        <f t="shared" si="10"/>
        <v/>
      </c>
      <c r="C117" s="594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812" t="str">
        <f t="shared" si="20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913" t="str">
        <f t="shared" si="14"/>
        <v/>
      </c>
      <c r="I117" s="926"/>
      <c r="J117" s="322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813" t="str">
        <f t="shared" si="19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85"/>
      <c r="Q117" s="685"/>
      <c r="R117" s="680"/>
      <c r="S117" s="680"/>
      <c r="T117" s="680"/>
      <c r="U117" s="680"/>
      <c r="V117" s="680"/>
      <c r="W117" s="685"/>
      <c r="X117" s="685"/>
      <c r="Y117" s="680"/>
      <c r="Z117" s="680"/>
      <c r="AA117" s="680"/>
    </row>
    <row r="118" spans="1:27" ht="12.75" customHeight="1" x14ac:dyDescent="0.2">
      <c r="A118" s="148" t="str">
        <f t="shared" si="9"/>
        <v/>
      </c>
      <c r="B118" s="594" t="str">
        <f t="shared" si="10"/>
        <v/>
      </c>
      <c r="C118" s="594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812" t="str">
        <f t="shared" si="20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913" t="str">
        <f t="shared" si="14"/>
        <v/>
      </c>
      <c r="I118" s="926"/>
      <c r="J118" s="322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813" t="str">
        <f t="shared" si="19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85"/>
      <c r="Q118" s="685"/>
      <c r="R118" s="680"/>
      <c r="S118" s="680"/>
      <c r="T118" s="680"/>
      <c r="U118" s="680"/>
      <c r="V118" s="680"/>
      <c r="W118" s="685"/>
      <c r="X118" s="685"/>
      <c r="Y118" s="680"/>
      <c r="Z118" s="680"/>
      <c r="AA118" s="680"/>
    </row>
    <row r="119" spans="1:27" ht="12.75" customHeight="1" x14ac:dyDescent="0.2">
      <c r="A119" s="148" t="str">
        <f t="shared" si="9"/>
        <v/>
      </c>
      <c r="B119" s="594" t="str">
        <f t="shared" si="10"/>
        <v/>
      </c>
      <c r="C119" s="594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812" t="str">
        <f t="shared" si="20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913" t="str">
        <f t="shared" si="14"/>
        <v/>
      </c>
      <c r="I119" s="926"/>
      <c r="J119" s="322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813" t="str">
        <f t="shared" si="19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85"/>
      <c r="Q119" s="685"/>
      <c r="R119" s="680"/>
      <c r="S119" s="680"/>
      <c r="T119" s="680"/>
      <c r="U119" s="680"/>
      <c r="V119" s="680"/>
      <c r="W119" s="685"/>
      <c r="X119" s="685"/>
      <c r="Y119" s="680"/>
      <c r="Z119" s="680"/>
      <c r="AA119" s="680"/>
    </row>
    <row r="120" spans="1:27" ht="12.75" customHeight="1" x14ac:dyDescent="0.2">
      <c r="A120" s="148" t="str">
        <f t="shared" si="9"/>
        <v/>
      </c>
      <c r="B120" s="594" t="str">
        <f t="shared" si="10"/>
        <v/>
      </c>
      <c r="C120" s="594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812" t="str">
        <f t="shared" si="20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913" t="str">
        <f t="shared" si="14"/>
        <v/>
      </c>
      <c r="I120" s="926"/>
      <c r="J120" s="322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813" t="str">
        <f t="shared" si="19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85"/>
      <c r="Q120" s="685"/>
      <c r="R120" s="680"/>
      <c r="S120" s="680"/>
      <c r="T120" s="680"/>
      <c r="U120" s="680"/>
      <c r="V120" s="680"/>
      <c r="W120" s="685"/>
      <c r="X120" s="685"/>
      <c r="Y120" s="680"/>
      <c r="Z120" s="680"/>
      <c r="AA120" s="680"/>
    </row>
    <row r="121" spans="1:27" ht="12.75" customHeight="1" x14ac:dyDescent="0.2">
      <c r="A121" s="148" t="str">
        <f t="shared" si="9"/>
        <v/>
      </c>
      <c r="B121" s="594" t="str">
        <f t="shared" si="10"/>
        <v/>
      </c>
      <c r="C121" s="594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812" t="str">
        <f t="shared" si="20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913" t="str">
        <f t="shared" si="14"/>
        <v/>
      </c>
      <c r="I121" s="926"/>
      <c r="J121" s="322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813" t="str">
        <f t="shared" si="19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85"/>
      <c r="Q121" s="685"/>
      <c r="R121" s="680"/>
      <c r="S121" s="680"/>
      <c r="T121" s="680"/>
      <c r="U121" s="680"/>
      <c r="V121" s="680"/>
      <c r="W121" s="685"/>
      <c r="X121" s="685"/>
      <c r="Y121" s="680"/>
      <c r="Z121" s="680"/>
      <c r="AA121" s="680"/>
    </row>
    <row r="122" spans="1:27" ht="12.75" customHeight="1" x14ac:dyDescent="0.2">
      <c r="A122" s="148" t="str">
        <f t="shared" si="9"/>
        <v/>
      </c>
      <c r="B122" s="594" t="str">
        <f t="shared" si="10"/>
        <v/>
      </c>
      <c r="C122" s="594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812" t="str">
        <f t="shared" si="20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913" t="str">
        <f t="shared" si="14"/>
        <v/>
      </c>
      <c r="I122" s="926"/>
      <c r="J122" s="322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813" t="str">
        <f t="shared" si="19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85"/>
      <c r="Q122" s="685"/>
      <c r="R122" s="680"/>
      <c r="S122" s="680"/>
      <c r="T122" s="680"/>
      <c r="U122" s="680"/>
      <c r="V122" s="680"/>
      <c r="W122" s="685"/>
      <c r="X122" s="685"/>
      <c r="Y122" s="680"/>
      <c r="Z122" s="680"/>
      <c r="AA122" s="680"/>
    </row>
    <row r="123" spans="1:27" s="223" customFormat="1" ht="12.75" customHeight="1" x14ac:dyDescent="0.2">
      <c r="A123" s="215" t="s">
        <v>50</v>
      </c>
      <c r="B123" s="282"/>
      <c r="C123" s="216">
        <f>SUM(C83:C122)</f>
        <v>0</v>
      </c>
      <c r="D123" s="217">
        <f>SUM(D83:D122)</f>
        <v>0</v>
      </c>
      <c r="E123" s="280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1"/>
      <c r="N123" s="277">
        <f t="shared" ref="N123" si="22">K123+L123</f>
        <v>0</v>
      </c>
      <c r="O123" s="214"/>
      <c r="P123" s="694"/>
      <c r="Q123" s="694"/>
      <c r="R123" s="694"/>
      <c r="S123" s="695"/>
      <c r="T123" s="696"/>
      <c r="U123" s="696"/>
      <c r="V123" s="696"/>
      <c r="W123" s="696"/>
      <c r="X123" s="696"/>
      <c r="Y123" s="696"/>
      <c r="Z123" s="696"/>
      <c r="AA123" s="696"/>
    </row>
    <row r="124" spans="1:27" ht="12.75" customHeight="1" x14ac:dyDescent="0.2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85"/>
      <c r="Q124" s="697"/>
      <c r="R124" s="685"/>
      <c r="S124" s="679"/>
      <c r="T124" s="680"/>
      <c r="U124" s="680"/>
      <c r="V124" s="680"/>
      <c r="W124" s="680"/>
      <c r="X124" s="680"/>
      <c r="Y124" s="680"/>
      <c r="Z124" s="680"/>
      <c r="AA124" s="680"/>
    </row>
    <row r="125" spans="1:27" ht="12.75" customHeight="1" x14ac:dyDescent="0.2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85"/>
      <c r="Q125" s="697"/>
      <c r="R125" s="685"/>
      <c r="S125" s="679"/>
      <c r="T125" s="680"/>
      <c r="U125" s="680"/>
      <c r="V125" s="680"/>
      <c r="W125" s="680"/>
      <c r="X125" s="680"/>
      <c r="Y125" s="680"/>
      <c r="Z125" s="680"/>
      <c r="AA125" s="680"/>
    </row>
    <row r="126" spans="1:27" ht="12.75" customHeight="1" x14ac:dyDescent="0.2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85"/>
      <c r="Q126" s="697"/>
      <c r="R126" s="685"/>
      <c r="S126" s="679"/>
      <c r="T126" s="680"/>
      <c r="U126" s="680"/>
      <c r="V126" s="680"/>
      <c r="W126" s="680"/>
      <c r="X126" s="680"/>
      <c r="Y126" s="680"/>
      <c r="Z126" s="680"/>
      <c r="AA126" s="680"/>
    </row>
    <row r="127" spans="1:27" ht="12.75" customHeight="1" x14ac:dyDescent="0.2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85"/>
      <c r="Q127" s="697"/>
      <c r="R127" s="685"/>
      <c r="S127" s="679"/>
      <c r="T127" s="680"/>
      <c r="U127" s="680"/>
      <c r="V127" s="680"/>
      <c r="W127" s="680"/>
      <c r="X127" s="680"/>
      <c r="Y127" s="680"/>
      <c r="Z127" s="680"/>
      <c r="AA127" s="680"/>
    </row>
    <row r="128" spans="1:27" ht="12.75" customHeight="1" x14ac:dyDescent="0.2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85"/>
      <c r="Q128" s="697"/>
      <c r="R128" s="685"/>
      <c r="S128" s="679"/>
      <c r="T128" s="680"/>
      <c r="U128" s="680"/>
      <c r="V128" s="680"/>
      <c r="W128" s="680"/>
      <c r="X128" s="680"/>
      <c r="Y128" s="680"/>
      <c r="Z128" s="680"/>
      <c r="AA128" s="680"/>
    </row>
    <row r="129" spans="1:27" ht="12.75" customHeight="1" x14ac:dyDescent="0.2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85"/>
      <c r="Q129" s="697"/>
      <c r="R129" s="685"/>
      <c r="S129" s="679"/>
      <c r="T129" s="680"/>
      <c r="U129" s="680"/>
      <c r="V129" s="680"/>
      <c r="W129" s="680"/>
      <c r="X129" s="680"/>
      <c r="Y129" s="680"/>
      <c r="Z129" s="680"/>
      <c r="AA129" s="680"/>
    </row>
    <row r="130" spans="1:27" ht="12.75" customHeight="1" x14ac:dyDescent="0.2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85"/>
      <c r="Q130" s="697"/>
      <c r="R130" s="685"/>
      <c r="S130" s="679"/>
      <c r="T130" s="680"/>
      <c r="U130" s="680"/>
      <c r="V130" s="680"/>
      <c r="W130" s="680"/>
      <c r="X130" s="680"/>
      <c r="Y130" s="680"/>
      <c r="Z130" s="680"/>
      <c r="AA130" s="680"/>
    </row>
    <row r="131" spans="1:27" ht="12.75" customHeight="1" x14ac:dyDescent="0.2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85"/>
      <c r="Q131" s="697"/>
      <c r="R131" s="685"/>
      <c r="S131" s="679"/>
      <c r="T131" s="680"/>
      <c r="U131" s="680"/>
      <c r="V131" s="680"/>
      <c r="W131" s="680"/>
      <c r="X131" s="680"/>
      <c r="Y131" s="680"/>
      <c r="Z131" s="680"/>
      <c r="AA131" s="680"/>
    </row>
    <row r="132" spans="1:27" ht="12.75" customHeight="1" x14ac:dyDescent="0.2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85"/>
      <c r="Q132" s="697"/>
      <c r="R132" s="685"/>
      <c r="S132" s="679"/>
      <c r="T132" s="680"/>
      <c r="U132" s="680"/>
      <c r="V132" s="680"/>
      <c r="W132" s="680"/>
      <c r="X132" s="680"/>
      <c r="Y132" s="680"/>
      <c r="Z132" s="680"/>
      <c r="AA132" s="680"/>
    </row>
    <row r="133" spans="1:27" ht="12.75" customHeight="1" x14ac:dyDescent="0.2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85"/>
      <c r="Q133" s="697"/>
      <c r="R133" s="685"/>
      <c r="S133" s="679"/>
      <c r="T133" s="680"/>
      <c r="U133" s="680"/>
      <c r="V133" s="680"/>
      <c r="W133" s="680"/>
      <c r="X133" s="680"/>
      <c r="Y133" s="680"/>
      <c r="Z133" s="680"/>
      <c r="AA133" s="680"/>
    </row>
    <row r="134" spans="1:27" ht="12.75" customHeight="1" x14ac:dyDescent="0.2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85"/>
      <c r="Q134" s="697"/>
      <c r="R134" s="685"/>
      <c r="S134" s="679"/>
      <c r="T134" s="680"/>
      <c r="U134" s="680"/>
      <c r="V134" s="680"/>
      <c r="W134" s="680"/>
      <c r="X134" s="680"/>
      <c r="Y134" s="680"/>
      <c r="Z134" s="680"/>
      <c r="AA134" s="680"/>
    </row>
    <row r="135" spans="1:27" ht="12.75" customHeight="1" x14ac:dyDescent="0.2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85"/>
      <c r="Q135" s="697"/>
      <c r="R135" s="685"/>
      <c r="S135" s="679"/>
      <c r="T135" s="680"/>
      <c r="U135" s="680"/>
      <c r="V135" s="680"/>
      <c r="W135" s="680"/>
      <c r="X135" s="680"/>
      <c r="Y135" s="680"/>
      <c r="Z135" s="680"/>
      <c r="AA135" s="680"/>
    </row>
    <row r="136" spans="1:27" ht="12.75" customHeight="1" x14ac:dyDescent="0.2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85"/>
      <c r="Q136" s="697"/>
      <c r="R136" s="685"/>
      <c r="S136" s="679"/>
      <c r="T136" s="680"/>
      <c r="U136" s="680"/>
      <c r="V136" s="680"/>
      <c r="W136" s="680"/>
      <c r="X136" s="680"/>
      <c r="Y136" s="680"/>
      <c r="Z136" s="680"/>
      <c r="AA136" s="680"/>
    </row>
    <row r="137" spans="1:27" ht="12.75" customHeight="1" x14ac:dyDescent="0.2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85"/>
      <c r="Q137" s="697"/>
      <c r="R137" s="685"/>
      <c r="S137" s="679"/>
      <c r="T137" s="680"/>
      <c r="U137" s="680"/>
      <c r="V137" s="680"/>
      <c r="W137" s="680"/>
      <c r="X137" s="680"/>
      <c r="Y137" s="680"/>
      <c r="Z137" s="680"/>
      <c r="AA137" s="680"/>
    </row>
    <row r="138" spans="1:27" ht="12.75" customHeight="1" x14ac:dyDescent="0.2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85"/>
      <c r="Q138" s="697"/>
      <c r="R138" s="685"/>
      <c r="S138" s="679"/>
      <c r="T138" s="680"/>
      <c r="U138" s="680"/>
      <c r="V138" s="680"/>
      <c r="W138" s="680"/>
      <c r="X138" s="680"/>
      <c r="Y138" s="680"/>
      <c r="Z138" s="680"/>
      <c r="AA138" s="680"/>
    </row>
    <row r="139" spans="1:27" ht="12.75" customHeight="1" x14ac:dyDescent="0.2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85"/>
      <c r="Q139" s="697"/>
      <c r="R139" s="685"/>
      <c r="S139" s="679"/>
      <c r="T139" s="680"/>
      <c r="U139" s="680"/>
      <c r="V139" s="680"/>
      <c r="W139" s="680"/>
      <c r="X139" s="680"/>
      <c r="Y139" s="680"/>
      <c r="Z139" s="680"/>
      <c r="AA139" s="680"/>
    </row>
    <row r="140" spans="1:27" ht="12.75" customHeight="1" x14ac:dyDescent="0.2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85"/>
      <c r="Q140" s="697"/>
      <c r="R140" s="685"/>
      <c r="S140" s="679"/>
      <c r="T140" s="680"/>
      <c r="U140" s="680"/>
      <c r="V140" s="680"/>
      <c r="W140" s="680"/>
      <c r="X140" s="680"/>
      <c r="Y140" s="680"/>
      <c r="Z140" s="680"/>
      <c r="AA140" s="680"/>
    </row>
    <row r="141" spans="1:27" ht="12.75" customHeight="1" x14ac:dyDescent="0.2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85"/>
      <c r="Q141" s="697"/>
      <c r="R141" s="685"/>
      <c r="S141" s="679"/>
      <c r="T141" s="680"/>
      <c r="U141" s="680"/>
      <c r="V141" s="680"/>
      <c r="W141" s="680"/>
      <c r="X141" s="680"/>
      <c r="Y141" s="680"/>
      <c r="Z141" s="680"/>
      <c r="AA141" s="680"/>
    </row>
    <row r="142" spans="1:27" ht="12.75" customHeight="1" x14ac:dyDescent="0.2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85"/>
      <c r="Q142" s="697"/>
      <c r="R142" s="685"/>
      <c r="S142" s="679"/>
      <c r="T142" s="680"/>
      <c r="U142" s="680"/>
      <c r="V142" s="680"/>
      <c r="W142" s="680"/>
      <c r="X142" s="680"/>
      <c r="Y142" s="680"/>
      <c r="Z142" s="680"/>
      <c r="AA142" s="680"/>
    </row>
    <row r="143" spans="1:27" ht="12.75" customHeight="1" x14ac:dyDescent="0.2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85"/>
      <c r="Q143" s="697"/>
      <c r="R143" s="685"/>
      <c r="S143" s="679"/>
      <c r="T143" s="680"/>
      <c r="U143" s="680"/>
      <c r="V143" s="680"/>
      <c r="W143" s="680"/>
      <c r="X143" s="680"/>
      <c r="Y143" s="680"/>
      <c r="Z143" s="680"/>
      <c r="AA143" s="680"/>
    </row>
    <row r="144" spans="1:27" ht="12.75" customHeight="1" x14ac:dyDescent="0.2">
      <c r="A144" s="915" t="s">
        <v>205</v>
      </c>
      <c r="B144" s="915"/>
      <c r="C144" s="916"/>
      <c r="D144" s="916"/>
      <c r="E144" s="916"/>
      <c r="F144" s="916"/>
      <c r="G144" s="916"/>
      <c r="H144" s="916"/>
      <c r="I144" s="916"/>
      <c r="J144" s="916"/>
      <c r="K144" s="916"/>
      <c r="L144" s="916"/>
      <c r="M144" s="916"/>
      <c r="N144" s="916"/>
      <c r="O144" s="207"/>
      <c r="P144" s="685"/>
      <c r="Q144" s="697"/>
      <c r="R144" s="685"/>
      <c r="S144" s="679"/>
      <c r="T144" s="680"/>
      <c r="U144" s="680"/>
      <c r="V144" s="680"/>
      <c r="W144" s="680"/>
      <c r="X144" s="680"/>
      <c r="Y144" s="680"/>
      <c r="Z144" s="680"/>
      <c r="AA144" s="680"/>
    </row>
    <row r="145" spans="1:27" ht="12.75" customHeight="1" x14ac:dyDescent="0.2">
      <c r="A145" s="915" t="s">
        <v>142</v>
      </c>
      <c r="B145" s="915"/>
      <c r="C145" s="916"/>
      <c r="D145" s="916"/>
      <c r="E145" s="916"/>
      <c r="F145" s="916"/>
      <c r="G145" s="916"/>
      <c r="H145" s="916"/>
      <c r="I145" s="916"/>
      <c r="J145" s="916"/>
      <c r="K145" s="916"/>
      <c r="L145" s="916"/>
      <c r="M145" s="916"/>
      <c r="N145" s="916"/>
      <c r="O145" s="207"/>
      <c r="P145" s="685"/>
      <c r="Q145" s="697"/>
      <c r="R145" s="685"/>
      <c r="S145" s="679"/>
      <c r="T145" s="680"/>
      <c r="U145" s="680"/>
      <c r="V145" s="680"/>
      <c r="W145" s="680"/>
      <c r="X145" s="680"/>
      <c r="Y145" s="680"/>
      <c r="Z145" s="680"/>
      <c r="AA145" s="680"/>
    </row>
    <row r="146" spans="1:27" ht="12.75" customHeight="1" x14ac:dyDescent="0.2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85"/>
      <c r="Q146" s="697"/>
      <c r="R146" s="685"/>
      <c r="S146" s="679"/>
      <c r="T146" s="680"/>
      <c r="U146" s="680"/>
      <c r="V146" s="680"/>
      <c r="W146" s="680"/>
      <c r="X146" s="680"/>
      <c r="Y146" s="680"/>
      <c r="Z146" s="680"/>
      <c r="AA146" s="680"/>
    </row>
    <row r="147" spans="1:27" ht="12.75" customHeight="1" x14ac:dyDescent="0.2">
      <c r="A147" s="207"/>
      <c r="B147" s="207"/>
      <c r="C147" s="208" t="s">
        <v>6</v>
      </c>
      <c r="D147" s="207"/>
      <c r="E147" s="207"/>
      <c r="F147" s="947" t="str">
        <f>D5</f>
        <v/>
      </c>
      <c r="G147" s="947"/>
      <c r="H147" s="947"/>
      <c r="I147" s="947"/>
      <c r="J147" s="947"/>
      <c r="K147" s="947"/>
      <c r="L147" s="207"/>
      <c r="M147" s="207"/>
      <c r="N147" s="207"/>
      <c r="O147" s="207"/>
      <c r="P147" s="685"/>
      <c r="Q147" s="697"/>
      <c r="R147" s="685"/>
      <c r="S147" s="679"/>
      <c r="T147" s="680"/>
      <c r="U147" s="680"/>
      <c r="V147" s="680"/>
      <c r="W147" s="680"/>
      <c r="X147" s="680"/>
      <c r="Y147" s="680"/>
      <c r="Z147" s="680"/>
      <c r="AA147" s="680"/>
    </row>
    <row r="148" spans="1:27" ht="12.75" customHeight="1" x14ac:dyDescent="0.2">
      <c r="A148" s="207"/>
      <c r="B148" s="207"/>
      <c r="C148" s="208" t="s">
        <v>8</v>
      </c>
      <c r="D148" s="207"/>
      <c r="E148" s="207"/>
      <c r="F148" s="925" t="str">
        <f>D6</f>
        <v/>
      </c>
      <c r="G148" s="925"/>
      <c r="H148" s="925"/>
      <c r="I148" s="925"/>
      <c r="J148" s="925"/>
      <c r="K148" s="925"/>
      <c r="L148" s="207"/>
      <c r="M148" s="207"/>
      <c r="N148" s="207"/>
      <c r="O148" s="207"/>
      <c r="P148" s="685"/>
      <c r="Q148" s="697"/>
      <c r="R148" s="685"/>
      <c r="S148" s="679"/>
      <c r="T148" s="680"/>
      <c r="U148" s="680"/>
      <c r="V148" s="680"/>
      <c r="W148" s="680"/>
      <c r="X148" s="680"/>
      <c r="Y148" s="680"/>
      <c r="Z148" s="680"/>
      <c r="AA148" s="680"/>
    </row>
    <row r="149" spans="1:27" ht="12.75" customHeight="1" x14ac:dyDescent="0.2">
      <c r="A149" s="207"/>
      <c r="B149" s="207"/>
      <c r="C149" s="208" t="s">
        <v>122</v>
      </c>
      <c r="D149" s="207"/>
      <c r="E149" s="207"/>
      <c r="F149" s="925" t="str">
        <f>D7</f>
        <v/>
      </c>
      <c r="G149" s="925"/>
      <c r="H149" s="925"/>
      <c r="I149" s="925"/>
      <c r="J149" s="925"/>
      <c r="K149" s="925"/>
      <c r="L149" s="207"/>
      <c r="M149" s="207"/>
      <c r="N149" s="207"/>
      <c r="O149" s="207"/>
      <c r="P149" s="685"/>
      <c r="Q149" s="697"/>
      <c r="R149" s="685"/>
      <c r="S149" s="679"/>
      <c r="T149" s="680"/>
      <c r="U149" s="680"/>
      <c r="V149" s="680"/>
      <c r="W149" s="680"/>
      <c r="X149" s="680"/>
      <c r="Y149" s="680"/>
      <c r="Z149" s="680"/>
      <c r="AA149" s="680"/>
    </row>
    <row r="150" spans="1:27" ht="12.75" customHeight="1" x14ac:dyDescent="0.2">
      <c r="A150" s="207"/>
      <c r="B150" s="207"/>
      <c r="C150" s="208" t="s">
        <v>10</v>
      </c>
      <c r="D150" s="207"/>
      <c r="E150" s="207"/>
      <c r="F150" s="925" t="str">
        <f>D8</f>
        <v/>
      </c>
      <c r="G150" s="925"/>
      <c r="H150" s="925"/>
      <c r="I150" s="925"/>
      <c r="J150" s="925"/>
      <c r="K150" s="925"/>
      <c r="L150" s="207"/>
      <c r="M150" s="207"/>
      <c r="N150" s="207"/>
      <c r="O150" s="207"/>
      <c r="P150" s="685"/>
      <c r="Q150" s="685"/>
      <c r="R150" s="685"/>
      <c r="S150" s="679"/>
      <c r="T150" s="680"/>
      <c r="U150" s="680"/>
      <c r="V150" s="680"/>
      <c r="W150" s="680"/>
      <c r="X150" s="680"/>
      <c r="Y150" s="680"/>
      <c r="Z150" s="680"/>
      <c r="AA150" s="680"/>
    </row>
    <row r="151" spans="1:27" ht="12.75" customHeight="1" x14ac:dyDescent="0.2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85"/>
      <c r="Q151" s="685"/>
      <c r="R151" s="685"/>
      <c r="S151" s="679"/>
      <c r="T151" s="680"/>
      <c r="U151" s="680"/>
      <c r="V151" s="680"/>
      <c r="W151" s="680"/>
      <c r="X151" s="680"/>
      <c r="Y151" s="680"/>
      <c r="Z151" s="680"/>
      <c r="AA151" s="680"/>
    </row>
    <row r="152" spans="1:27" ht="12.75" customHeight="1" x14ac:dyDescent="0.2">
      <c r="A152" s="100"/>
      <c r="B152" s="256" t="s">
        <v>208</v>
      </c>
      <c r="C152" s="850" t="s">
        <v>52</v>
      </c>
      <c r="D152" s="852"/>
      <c r="E152" s="852"/>
      <c r="F152" s="912"/>
      <c r="G152" s="101" t="s">
        <v>109</v>
      </c>
      <c r="H152" s="923"/>
      <c r="I152" s="924"/>
      <c r="J152" s="256" t="s">
        <v>208</v>
      </c>
      <c r="K152" s="102" t="s">
        <v>53</v>
      </c>
      <c r="L152" s="103"/>
      <c r="M152" s="103"/>
      <c r="N152" s="104"/>
      <c r="O152" s="84" t="s">
        <v>109</v>
      </c>
      <c r="P152" s="686" t="s">
        <v>51</v>
      </c>
      <c r="Q152" s="685"/>
      <c r="R152" s="685"/>
      <c r="S152" s="679"/>
      <c r="T152" s="680"/>
      <c r="U152" s="680"/>
      <c r="V152" s="680"/>
      <c r="W152" s="680"/>
      <c r="X152" s="680"/>
      <c r="Y152" s="680"/>
      <c r="Z152" s="680"/>
      <c r="AA152" s="680"/>
    </row>
    <row r="153" spans="1:27" ht="12.75" customHeight="1" x14ac:dyDescent="0.2">
      <c r="A153" s="105"/>
      <c r="B153" s="108" t="s">
        <v>210</v>
      </c>
      <c r="C153" s="106" t="s">
        <v>22</v>
      </c>
      <c r="D153" s="80"/>
      <c r="E153" s="80" t="s">
        <v>225</v>
      </c>
      <c r="F153" s="107"/>
      <c r="G153" s="80" t="s">
        <v>110</v>
      </c>
      <c r="H153" s="917"/>
      <c r="I153" s="918"/>
      <c r="J153" s="108" t="s">
        <v>210</v>
      </c>
      <c r="K153" s="108" t="str">
        <f>C153</f>
        <v>Salaries</v>
      </c>
      <c r="L153" s="80"/>
      <c r="M153" s="80" t="s">
        <v>225</v>
      </c>
      <c r="N153" s="107"/>
      <c r="O153" s="80" t="s">
        <v>110</v>
      </c>
      <c r="P153" s="687" t="str">
        <f>$P$80</f>
        <v>Year or</v>
      </c>
      <c r="Q153" s="685"/>
      <c r="R153" s="685"/>
      <c r="S153" s="679"/>
      <c r="T153" s="680"/>
      <c r="U153" s="680"/>
      <c r="V153" s="680"/>
      <c r="W153" s="680"/>
      <c r="X153" s="680"/>
      <c r="Y153" s="680"/>
      <c r="Z153" s="680"/>
      <c r="AA153" s="680"/>
    </row>
    <row r="154" spans="1:27" ht="12.75" customHeight="1" x14ac:dyDescent="0.2">
      <c r="A154" s="109" t="s">
        <v>32</v>
      </c>
      <c r="B154" s="109" t="s">
        <v>221</v>
      </c>
      <c r="C154" s="110" t="s">
        <v>34</v>
      </c>
      <c r="D154" s="111" t="s">
        <v>30</v>
      </c>
      <c r="E154" s="111" t="s">
        <v>226</v>
      </c>
      <c r="F154" s="112" t="s">
        <v>46</v>
      </c>
      <c r="G154" s="113" t="s">
        <v>33</v>
      </c>
      <c r="H154" s="917" t="s">
        <v>32</v>
      </c>
      <c r="I154" s="918"/>
      <c r="J154" s="109" t="s">
        <v>221</v>
      </c>
      <c r="K154" s="129" t="str">
        <f>C154</f>
        <v>Requested</v>
      </c>
      <c r="L154" s="111" t="str">
        <f>D154</f>
        <v>Benefits</v>
      </c>
      <c r="M154" s="111" t="s">
        <v>226</v>
      </c>
      <c r="N154" s="112" t="str">
        <f>F154</f>
        <v>Totals</v>
      </c>
      <c r="O154" s="113" t="s">
        <v>33</v>
      </c>
      <c r="P154" s="688" t="str">
        <f>$P$81</f>
        <v>Portion of</v>
      </c>
      <c r="Q154" s="685"/>
      <c r="R154" s="685"/>
      <c r="S154" s="679"/>
      <c r="T154" s="680"/>
      <c r="U154" s="680"/>
      <c r="V154" s="680"/>
      <c r="W154" s="680"/>
      <c r="X154" s="680"/>
      <c r="Y154" s="680"/>
      <c r="Z154" s="680"/>
      <c r="AA154" s="680"/>
    </row>
    <row r="155" spans="1:27" ht="12.75" customHeight="1" x14ac:dyDescent="0.2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812" t="str">
        <f>IFERROR(IF(C155*0.35=0,"",C155*0.35),"")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913" t="str">
        <f t="shared" ref="H155:H194" si="28">IF(A23=0,"",A23)</f>
        <v/>
      </c>
      <c r="I155" s="914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812" t="str">
        <f>IFERROR(IF(K155*0.35=0,"",K155*0.35),"")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88" t="str">
        <f>$P$82</f>
        <v>a Year</v>
      </c>
      <c r="Q155" s="685"/>
      <c r="R155" s="680"/>
      <c r="S155" s="680"/>
      <c r="T155" s="680"/>
      <c r="U155" s="680"/>
      <c r="V155" s="680"/>
      <c r="W155" s="685"/>
      <c r="X155" s="685"/>
      <c r="Y155" s="680"/>
      <c r="Z155" s="680"/>
      <c r="AA155" s="680"/>
    </row>
    <row r="156" spans="1:27" ht="12.75" customHeight="1" x14ac:dyDescent="0.2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812" t="str">
        <f t="shared" ref="D156:D194" si="33">IFERROR(IF(C156*0.35=0,"",C156*0.35),"")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913" t="str">
        <f t="shared" si="28"/>
        <v/>
      </c>
      <c r="I156" s="914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812" t="str">
        <f t="shared" ref="L156:L194" si="34">IFERROR(IF(K156*0.35=0,"",K156*0.35),"")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89">
        <f>IF(AND(totalyrs&gt;3,totalyrs&lt;4),totalyrs-3,1)</f>
        <v>1</v>
      </c>
      <c r="Q156" s="698" t="s">
        <v>54</v>
      </c>
      <c r="R156" s="680"/>
      <c r="S156" s="680"/>
      <c r="T156" s="680"/>
      <c r="U156" s="680"/>
      <c r="V156" s="680"/>
      <c r="W156" s="685"/>
      <c r="X156" s="685"/>
      <c r="Y156" s="680"/>
      <c r="Z156" s="680"/>
      <c r="AA156" s="680"/>
    </row>
    <row r="157" spans="1:27" ht="12.75" customHeight="1" x14ac:dyDescent="0.2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812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913" t="str">
        <f t="shared" si="28"/>
        <v/>
      </c>
      <c r="I157" s="914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812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89">
        <f>IF(AND(totalyrs&gt;4,totalyrs&lt;5),totalyrs-4,1)</f>
        <v>1</v>
      </c>
      <c r="Q157" s="690" t="s">
        <v>55</v>
      </c>
      <c r="R157" s="680"/>
      <c r="S157" s="680"/>
      <c r="T157" s="680"/>
      <c r="U157" s="680"/>
      <c r="V157" s="680"/>
      <c r="W157" s="685"/>
      <c r="X157" s="685"/>
      <c r="Y157" s="680"/>
      <c r="Z157" s="680"/>
      <c r="AA157" s="680"/>
    </row>
    <row r="158" spans="1:27" ht="12.75" customHeight="1" x14ac:dyDescent="0.2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812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913" t="str">
        <f t="shared" si="28"/>
        <v/>
      </c>
      <c r="I158" s="914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812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88"/>
      <c r="Q158" s="685"/>
      <c r="R158" s="680"/>
      <c r="S158" s="680"/>
      <c r="T158" s="680"/>
      <c r="U158" s="680"/>
      <c r="V158" s="680"/>
      <c r="W158" s="685"/>
      <c r="X158" s="685"/>
      <c r="Y158" s="680"/>
      <c r="Z158" s="680"/>
      <c r="AA158" s="680"/>
    </row>
    <row r="159" spans="1:27" ht="12.75" customHeight="1" x14ac:dyDescent="0.2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812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913" t="str">
        <f t="shared" si="28"/>
        <v/>
      </c>
      <c r="I159" s="914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812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88"/>
      <c r="Q159" s="685"/>
      <c r="R159" s="680"/>
      <c r="S159" s="680"/>
      <c r="T159" s="680"/>
      <c r="U159" s="680"/>
      <c r="V159" s="680"/>
      <c r="W159" s="685"/>
      <c r="X159" s="685"/>
      <c r="Y159" s="680"/>
      <c r="Z159" s="680"/>
      <c r="AA159" s="680"/>
    </row>
    <row r="160" spans="1:27" ht="12.75" customHeight="1" x14ac:dyDescent="0.2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812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913" t="str">
        <f t="shared" si="28"/>
        <v/>
      </c>
      <c r="I160" s="914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812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88"/>
      <c r="Q160" s="685"/>
      <c r="R160" s="680"/>
      <c r="S160" s="680"/>
      <c r="T160" s="680"/>
      <c r="U160" s="680"/>
      <c r="V160" s="680"/>
      <c r="W160" s="685"/>
      <c r="X160" s="685"/>
      <c r="Y160" s="680"/>
      <c r="Z160" s="680"/>
      <c r="AA160" s="680"/>
    </row>
    <row r="161" spans="1:27" ht="12.75" customHeight="1" x14ac:dyDescent="0.2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812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913" t="str">
        <f t="shared" si="28"/>
        <v/>
      </c>
      <c r="I161" s="914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812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88"/>
      <c r="Q161" s="685"/>
      <c r="R161" s="680"/>
      <c r="S161" s="680"/>
      <c r="T161" s="680"/>
      <c r="U161" s="680"/>
      <c r="V161" s="680"/>
      <c r="W161" s="685"/>
      <c r="X161" s="685"/>
      <c r="Y161" s="680"/>
      <c r="Z161" s="680"/>
      <c r="AA161" s="680"/>
    </row>
    <row r="162" spans="1:27" ht="12.75" customHeight="1" x14ac:dyDescent="0.2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812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913" t="str">
        <f t="shared" si="28"/>
        <v/>
      </c>
      <c r="I162" s="914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812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88"/>
      <c r="Q162" s="685"/>
      <c r="R162" s="680"/>
      <c r="S162" s="680"/>
      <c r="T162" s="680"/>
      <c r="U162" s="680"/>
      <c r="V162" s="680"/>
      <c r="W162" s="685"/>
      <c r="X162" s="685"/>
      <c r="Y162" s="680"/>
      <c r="Z162" s="680"/>
      <c r="AA162" s="680"/>
    </row>
    <row r="163" spans="1:27" ht="12.75" customHeight="1" x14ac:dyDescent="0.2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812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913" t="str">
        <f t="shared" si="28"/>
        <v/>
      </c>
      <c r="I163" s="914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812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88"/>
      <c r="Q163" s="685"/>
      <c r="R163" s="680"/>
      <c r="S163" s="680"/>
      <c r="T163" s="680"/>
      <c r="U163" s="680"/>
      <c r="V163" s="680"/>
      <c r="W163" s="685"/>
      <c r="X163" s="685"/>
      <c r="Y163" s="680"/>
      <c r="Z163" s="680"/>
      <c r="AA163" s="680"/>
    </row>
    <row r="164" spans="1:27" ht="12.75" customHeight="1" x14ac:dyDescent="0.2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812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913" t="str">
        <f t="shared" si="28"/>
        <v/>
      </c>
      <c r="I164" s="914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812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88"/>
      <c r="Q164" s="685"/>
      <c r="R164" s="680"/>
      <c r="S164" s="680"/>
      <c r="T164" s="680"/>
      <c r="U164" s="680"/>
      <c r="V164" s="680"/>
      <c r="W164" s="685"/>
      <c r="X164" s="685"/>
      <c r="Y164" s="680"/>
      <c r="Z164" s="680"/>
      <c r="AA164" s="680"/>
    </row>
    <row r="165" spans="1:27" ht="12.75" customHeight="1" x14ac:dyDescent="0.2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812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913" t="str">
        <f t="shared" si="28"/>
        <v/>
      </c>
      <c r="I165" s="914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812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88"/>
      <c r="Q165" s="685"/>
      <c r="R165" s="680"/>
      <c r="S165" s="680"/>
      <c r="T165" s="680"/>
      <c r="U165" s="680"/>
      <c r="V165" s="680"/>
      <c r="W165" s="685"/>
      <c r="X165" s="685"/>
      <c r="Y165" s="680"/>
      <c r="Z165" s="680"/>
      <c r="AA165" s="680"/>
    </row>
    <row r="166" spans="1:27" ht="12.75" customHeight="1" x14ac:dyDescent="0.2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812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913" t="str">
        <f t="shared" si="28"/>
        <v/>
      </c>
      <c r="I166" s="914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812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93"/>
      <c r="Q166" s="693"/>
      <c r="R166" s="680"/>
      <c r="S166" s="680"/>
      <c r="T166" s="680"/>
      <c r="U166" s="680"/>
      <c r="V166" s="680"/>
      <c r="W166" s="685"/>
      <c r="X166" s="685"/>
      <c r="Y166" s="680"/>
      <c r="Z166" s="680"/>
      <c r="AA166" s="680"/>
    </row>
    <row r="167" spans="1:27" ht="12.75" customHeight="1" x14ac:dyDescent="0.2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812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913" t="str">
        <f t="shared" si="28"/>
        <v/>
      </c>
      <c r="I167" s="914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812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93"/>
      <c r="Q167" s="693"/>
      <c r="R167" s="680"/>
      <c r="S167" s="680"/>
      <c r="T167" s="680"/>
      <c r="U167" s="680"/>
      <c r="V167" s="680"/>
      <c r="W167" s="685"/>
      <c r="X167" s="685"/>
      <c r="Y167" s="680"/>
      <c r="Z167" s="680"/>
      <c r="AA167" s="680"/>
    </row>
    <row r="168" spans="1:27" ht="12.75" customHeight="1" x14ac:dyDescent="0.2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812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913" t="str">
        <f t="shared" si="28"/>
        <v/>
      </c>
      <c r="I168" s="914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812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93"/>
      <c r="Q168" s="693"/>
      <c r="R168" s="680"/>
      <c r="S168" s="680"/>
      <c r="T168" s="680"/>
      <c r="U168" s="680"/>
      <c r="V168" s="680"/>
      <c r="W168" s="685"/>
      <c r="X168" s="685"/>
      <c r="Y168" s="680"/>
      <c r="Z168" s="680"/>
      <c r="AA168" s="680"/>
    </row>
    <row r="169" spans="1:27" ht="12.75" customHeight="1" x14ac:dyDescent="0.2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812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913" t="str">
        <f t="shared" si="28"/>
        <v/>
      </c>
      <c r="I169" s="914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812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85"/>
      <c r="Q169" s="685"/>
      <c r="R169" s="680"/>
      <c r="S169" s="680"/>
      <c r="T169" s="680"/>
      <c r="U169" s="680"/>
      <c r="V169" s="680"/>
      <c r="W169" s="685"/>
      <c r="X169" s="685"/>
      <c r="Y169" s="680"/>
      <c r="Z169" s="680"/>
      <c r="AA169" s="680"/>
    </row>
    <row r="170" spans="1:27" ht="12.75" customHeight="1" x14ac:dyDescent="0.2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812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913" t="str">
        <f t="shared" si="28"/>
        <v/>
      </c>
      <c r="I170" s="914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812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85"/>
      <c r="Q170" s="685"/>
      <c r="R170" s="680"/>
      <c r="S170" s="680"/>
      <c r="T170" s="680"/>
      <c r="U170" s="680"/>
      <c r="V170" s="680"/>
      <c r="W170" s="685"/>
      <c r="X170" s="685"/>
      <c r="Y170" s="680"/>
      <c r="Z170" s="680"/>
      <c r="AA170" s="680"/>
    </row>
    <row r="171" spans="1:27" ht="12.75" customHeight="1" x14ac:dyDescent="0.2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812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913" t="str">
        <f t="shared" si="28"/>
        <v/>
      </c>
      <c r="I171" s="914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812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85"/>
      <c r="Q171" s="685"/>
      <c r="R171" s="680"/>
      <c r="S171" s="680"/>
      <c r="T171" s="680"/>
      <c r="U171" s="680"/>
      <c r="V171" s="680"/>
      <c r="W171" s="685"/>
      <c r="X171" s="685"/>
      <c r="Y171" s="680"/>
      <c r="Z171" s="680"/>
      <c r="AA171" s="680"/>
    </row>
    <row r="172" spans="1:27" ht="12.75" customHeight="1" x14ac:dyDescent="0.2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812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913" t="str">
        <f t="shared" si="28"/>
        <v/>
      </c>
      <c r="I172" s="914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812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85"/>
      <c r="Q172" s="685"/>
      <c r="R172" s="680"/>
      <c r="S172" s="680"/>
      <c r="T172" s="680"/>
      <c r="U172" s="680"/>
      <c r="V172" s="680"/>
      <c r="W172" s="685"/>
      <c r="X172" s="685"/>
      <c r="Y172" s="680"/>
      <c r="Z172" s="680"/>
      <c r="AA172" s="680"/>
    </row>
    <row r="173" spans="1:27" ht="12.75" customHeight="1" x14ac:dyDescent="0.2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812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913" t="str">
        <f t="shared" si="28"/>
        <v/>
      </c>
      <c r="I173" s="914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812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85"/>
      <c r="Q173" s="685"/>
      <c r="R173" s="680"/>
      <c r="S173" s="680"/>
      <c r="T173" s="680"/>
      <c r="U173" s="680"/>
      <c r="V173" s="680"/>
      <c r="W173" s="685"/>
      <c r="X173" s="685"/>
      <c r="Y173" s="680"/>
      <c r="Z173" s="680"/>
      <c r="AA173" s="680"/>
    </row>
    <row r="174" spans="1:27" ht="12.75" customHeight="1" x14ac:dyDescent="0.2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812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913" t="str">
        <f t="shared" si="28"/>
        <v/>
      </c>
      <c r="I174" s="914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812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85"/>
      <c r="Q174" s="685"/>
      <c r="R174" s="680"/>
      <c r="S174" s="680"/>
      <c r="T174" s="680"/>
      <c r="U174" s="680"/>
      <c r="V174" s="680"/>
      <c r="W174" s="685"/>
      <c r="X174" s="685"/>
      <c r="Y174" s="680"/>
      <c r="Z174" s="680"/>
      <c r="AA174" s="680"/>
    </row>
    <row r="175" spans="1:27" ht="12.75" customHeight="1" x14ac:dyDescent="0.2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812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913" t="str">
        <f t="shared" si="28"/>
        <v/>
      </c>
      <c r="I175" s="914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812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85"/>
      <c r="Q175" s="685"/>
      <c r="R175" s="680"/>
      <c r="S175" s="680"/>
      <c r="T175" s="680"/>
      <c r="U175" s="680"/>
      <c r="V175" s="680"/>
      <c r="W175" s="685"/>
      <c r="X175" s="685"/>
      <c r="Y175" s="680"/>
      <c r="Z175" s="680"/>
      <c r="AA175" s="680"/>
    </row>
    <row r="176" spans="1:27" ht="12.75" customHeight="1" x14ac:dyDescent="0.2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812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913" t="str">
        <f t="shared" si="28"/>
        <v/>
      </c>
      <c r="I176" s="914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812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85"/>
      <c r="Q176" s="685"/>
      <c r="R176" s="680"/>
      <c r="S176" s="680"/>
      <c r="T176" s="680"/>
      <c r="U176" s="680"/>
      <c r="V176" s="680"/>
      <c r="W176" s="685"/>
      <c r="X176" s="685"/>
      <c r="Y176" s="680"/>
      <c r="Z176" s="680"/>
      <c r="AA176" s="680"/>
    </row>
    <row r="177" spans="1:27" ht="12.75" customHeight="1" x14ac:dyDescent="0.2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812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913" t="str">
        <f t="shared" si="28"/>
        <v/>
      </c>
      <c r="I177" s="914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812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85"/>
      <c r="Q177" s="685"/>
      <c r="R177" s="680"/>
      <c r="S177" s="680"/>
      <c r="T177" s="680"/>
      <c r="U177" s="680"/>
      <c r="V177" s="680"/>
      <c r="W177" s="685"/>
      <c r="X177" s="685"/>
      <c r="Y177" s="680"/>
      <c r="Z177" s="680"/>
      <c r="AA177" s="680"/>
    </row>
    <row r="178" spans="1:27" ht="12.75" customHeight="1" x14ac:dyDescent="0.2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812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913" t="str">
        <f t="shared" si="28"/>
        <v/>
      </c>
      <c r="I178" s="914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812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85"/>
      <c r="Q178" s="685"/>
      <c r="R178" s="680"/>
      <c r="S178" s="680"/>
      <c r="T178" s="680"/>
      <c r="U178" s="680"/>
      <c r="V178" s="680"/>
      <c r="W178" s="685"/>
      <c r="X178" s="685"/>
      <c r="Y178" s="680"/>
      <c r="Z178" s="680"/>
      <c r="AA178" s="680"/>
    </row>
    <row r="179" spans="1:27" ht="12.75" customHeight="1" x14ac:dyDescent="0.2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812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913" t="str">
        <f t="shared" si="28"/>
        <v/>
      </c>
      <c r="I179" s="914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812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85"/>
      <c r="Q179" s="685"/>
      <c r="R179" s="680"/>
      <c r="S179" s="680"/>
      <c r="T179" s="680"/>
      <c r="U179" s="680"/>
      <c r="V179" s="680"/>
      <c r="W179" s="685"/>
      <c r="X179" s="685"/>
      <c r="Y179" s="680"/>
      <c r="Z179" s="680"/>
      <c r="AA179" s="680"/>
    </row>
    <row r="180" spans="1:27" ht="12.75" customHeight="1" x14ac:dyDescent="0.2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812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913" t="str">
        <f t="shared" si="28"/>
        <v/>
      </c>
      <c r="I180" s="914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812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85"/>
      <c r="Q180" s="685"/>
      <c r="R180" s="680"/>
      <c r="S180" s="680"/>
      <c r="T180" s="680"/>
      <c r="U180" s="680"/>
      <c r="V180" s="680"/>
      <c r="W180" s="685"/>
      <c r="X180" s="685"/>
      <c r="Y180" s="680"/>
      <c r="Z180" s="680"/>
      <c r="AA180" s="680"/>
    </row>
    <row r="181" spans="1:27" ht="12.75" customHeight="1" x14ac:dyDescent="0.2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812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913" t="str">
        <f t="shared" si="28"/>
        <v/>
      </c>
      <c r="I181" s="914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812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85"/>
      <c r="Q181" s="685"/>
      <c r="R181" s="680"/>
      <c r="S181" s="680"/>
      <c r="T181" s="680"/>
      <c r="U181" s="680"/>
      <c r="V181" s="680"/>
      <c r="W181" s="685"/>
      <c r="X181" s="685"/>
      <c r="Y181" s="680"/>
      <c r="Z181" s="680"/>
      <c r="AA181" s="680"/>
    </row>
    <row r="182" spans="1:27" ht="12.75" customHeight="1" x14ac:dyDescent="0.2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812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913" t="str">
        <f t="shared" si="28"/>
        <v/>
      </c>
      <c r="I182" s="914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812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85"/>
      <c r="Q182" s="685"/>
      <c r="R182" s="680"/>
      <c r="S182" s="680"/>
      <c r="T182" s="680"/>
      <c r="U182" s="680"/>
      <c r="V182" s="680"/>
      <c r="W182" s="685"/>
      <c r="X182" s="685"/>
      <c r="Y182" s="680"/>
      <c r="Z182" s="680"/>
      <c r="AA182" s="680"/>
    </row>
    <row r="183" spans="1:27" ht="12.75" customHeight="1" x14ac:dyDescent="0.2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812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913" t="str">
        <f t="shared" si="28"/>
        <v/>
      </c>
      <c r="I183" s="914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812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85"/>
      <c r="Q183" s="685"/>
      <c r="R183" s="680"/>
      <c r="S183" s="680"/>
      <c r="T183" s="680"/>
      <c r="U183" s="680"/>
      <c r="V183" s="680"/>
      <c r="W183" s="685"/>
      <c r="X183" s="685"/>
      <c r="Y183" s="680"/>
      <c r="Z183" s="680"/>
      <c r="AA183" s="680"/>
    </row>
    <row r="184" spans="1:27" ht="12.75" customHeight="1" x14ac:dyDescent="0.2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812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913" t="str">
        <f t="shared" si="28"/>
        <v/>
      </c>
      <c r="I184" s="914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812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85"/>
      <c r="Q184" s="685"/>
      <c r="R184" s="680"/>
      <c r="S184" s="680"/>
      <c r="T184" s="680"/>
      <c r="U184" s="680"/>
      <c r="V184" s="680"/>
      <c r="W184" s="685"/>
      <c r="X184" s="685"/>
      <c r="Y184" s="680"/>
      <c r="Z184" s="680"/>
      <c r="AA184" s="680"/>
    </row>
    <row r="185" spans="1:27" ht="12.75" customHeight="1" x14ac:dyDescent="0.2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812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913" t="str">
        <f t="shared" si="28"/>
        <v/>
      </c>
      <c r="I185" s="914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812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85"/>
      <c r="Q185" s="685"/>
      <c r="R185" s="680"/>
      <c r="S185" s="680"/>
      <c r="T185" s="680"/>
      <c r="U185" s="680"/>
      <c r="V185" s="680"/>
      <c r="W185" s="685"/>
      <c r="X185" s="685"/>
      <c r="Y185" s="680"/>
      <c r="Z185" s="680"/>
      <c r="AA185" s="680"/>
    </row>
    <row r="186" spans="1:27" ht="12.75" customHeight="1" x14ac:dyDescent="0.2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812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913" t="str">
        <f t="shared" si="28"/>
        <v/>
      </c>
      <c r="I186" s="914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812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85"/>
      <c r="Q186" s="685"/>
      <c r="R186" s="680"/>
      <c r="S186" s="680"/>
      <c r="T186" s="680"/>
      <c r="U186" s="680"/>
      <c r="V186" s="680"/>
      <c r="W186" s="685"/>
      <c r="X186" s="685"/>
      <c r="Y186" s="680"/>
      <c r="Z186" s="680"/>
      <c r="AA186" s="680"/>
    </row>
    <row r="187" spans="1:27" ht="12.75" customHeight="1" x14ac:dyDescent="0.2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812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913" t="str">
        <f t="shared" si="28"/>
        <v/>
      </c>
      <c r="I187" s="914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812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85"/>
      <c r="Q187" s="685"/>
      <c r="R187" s="680"/>
      <c r="S187" s="680"/>
      <c r="T187" s="680"/>
      <c r="U187" s="680"/>
      <c r="V187" s="680"/>
      <c r="W187" s="685"/>
      <c r="X187" s="685"/>
      <c r="Y187" s="680"/>
      <c r="Z187" s="680"/>
      <c r="AA187" s="680"/>
    </row>
    <row r="188" spans="1:27" ht="12.75" customHeight="1" x14ac:dyDescent="0.2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812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913" t="str">
        <f t="shared" si="28"/>
        <v/>
      </c>
      <c r="I188" s="914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812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85"/>
      <c r="Q188" s="685"/>
      <c r="R188" s="680"/>
      <c r="S188" s="680"/>
      <c r="T188" s="680"/>
      <c r="U188" s="680"/>
      <c r="V188" s="680"/>
      <c r="W188" s="685"/>
      <c r="X188" s="685"/>
      <c r="Y188" s="680"/>
      <c r="Z188" s="680"/>
      <c r="AA188" s="680"/>
    </row>
    <row r="189" spans="1:27" ht="12.75" customHeight="1" x14ac:dyDescent="0.2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812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913" t="str">
        <f t="shared" si="28"/>
        <v/>
      </c>
      <c r="I189" s="914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812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85"/>
      <c r="Q189" s="685"/>
      <c r="R189" s="680"/>
      <c r="S189" s="680"/>
      <c r="T189" s="680"/>
      <c r="U189" s="680"/>
      <c r="V189" s="680"/>
      <c r="W189" s="685"/>
      <c r="X189" s="685"/>
      <c r="Y189" s="680"/>
      <c r="Z189" s="680"/>
      <c r="AA189" s="680"/>
    </row>
    <row r="190" spans="1:27" ht="12.75" customHeight="1" x14ac:dyDescent="0.2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812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913" t="str">
        <f t="shared" si="28"/>
        <v/>
      </c>
      <c r="I190" s="914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812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85"/>
      <c r="Q190" s="685"/>
      <c r="R190" s="680"/>
      <c r="S190" s="680"/>
      <c r="T190" s="680"/>
      <c r="U190" s="680"/>
      <c r="V190" s="680"/>
      <c r="W190" s="685"/>
      <c r="X190" s="685"/>
      <c r="Y190" s="680"/>
      <c r="Z190" s="680"/>
      <c r="AA190" s="680"/>
    </row>
    <row r="191" spans="1:27" ht="12.75" customHeight="1" x14ac:dyDescent="0.2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812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913" t="str">
        <f t="shared" si="28"/>
        <v/>
      </c>
      <c r="I191" s="914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812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85"/>
      <c r="Q191" s="685"/>
      <c r="R191" s="680"/>
      <c r="S191" s="680"/>
      <c r="T191" s="680"/>
      <c r="U191" s="680"/>
      <c r="V191" s="680"/>
      <c r="W191" s="685"/>
      <c r="X191" s="685"/>
      <c r="Y191" s="680"/>
      <c r="Z191" s="680"/>
      <c r="AA191" s="680"/>
    </row>
    <row r="192" spans="1:27" ht="12.75" customHeight="1" x14ac:dyDescent="0.2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812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913" t="str">
        <f t="shared" si="28"/>
        <v/>
      </c>
      <c r="I192" s="914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812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85"/>
      <c r="Q192" s="685"/>
      <c r="R192" s="680"/>
      <c r="S192" s="680"/>
      <c r="T192" s="680"/>
      <c r="U192" s="680"/>
      <c r="V192" s="680"/>
      <c r="W192" s="685"/>
      <c r="X192" s="685"/>
      <c r="Y192" s="680"/>
      <c r="Z192" s="680"/>
      <c r="AA192" s="680"/>
    </row>
    <row r="193" spans="1:27" ht="12.75" customHeight="1" x14ac:dyDescent="0.2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812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913" t="str">
        <f t="shared" si="28"/>
        <v/>
      </c>
      <c r="I193" s="914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812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85"/>
      <c r="Q193" s="685"/>
      <c r="R193" s="680"/>
      <c r="S193" s="680"/>
      <c r="T193" s="680"/>
      <c r="U193" s="680"/>
      <c r="V193" s="680"/>
      <c r="W193" s="685"/>
      <c r="X193" s="685"/>
      <c r="Y193" s="680"/>
      <c r="Z193" s="680"/>
      <c r="AA193" s="680"/>
    </row>
    <row r="194" spans="1:27" ht="12.75" customHeight="1" x14ac:dyDescent="0.2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812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913" t="str">
        <f t="shared" si="28"/>
        <v/>
      </c>
      <c r="I194" s="914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812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85"/>
      <c r="Q194" s="685"/>
      <c r="R194" s="680"/>
      <c r="S194" s="680"/>
      <c r="T194" s="680"/>
      <c r="U194" s="680"/>
      <c r="V194" s="680"/>
      <c r="W194" s="685"/>
      <c r="X194" s="685"/>
      <c r="Y194" s="680"/>
      <c r="Z194" s="680"/>
      <c r="AA194" s="680"/>
    </row>
    <row r="195" spans="1:27" ht="12.75" customHeight="1" x14ac:dyDescent="0.2">
      <c r="A195" s="122" t="s">
        <v>50</v>
      </c>
      <c r="B195" s="282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3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85"/>
      <c r="Q195" s="685"/>
      <c r="R195" s="685"/>
      <c r="S195" s="679"/>
      <c r="T195" s="680"/>
      <c r="U195" s="680"/>
      <c r="V195" s="680"/>
      <c r="W195" s="680"/>
      <c r="X195" s="680"/>
      <c r="Y195" s="680"/>
      <c r="Z195" s="680"/>
      <c r="AA195" s="680"/>
    </row>
    <row r="196" spans="1:27" ht="12.75" customHeight="1" x14ac:dyDescent="0.2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85"/>
      <c r="Q196" s="697"/>
      <c r="R196" s="685"/>
      <c r="S196" s="679"/>
      <c r="T196" s="680"/>
      <c r="U196" s="680"/>
      <c r="V196" s="680"/>
      <c r="W196" s="680"/>
      <c r="X196" s="680"/>
      <c r="Y196" s="680"/>
      <c r="Z196" s="680"/>
      <c r="AA196" s="680"/>
    </row>
    <row r="197" spans="1:27" ht="12.75" customHeight="1" x14ac:dyDescent="0.2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85"/>
      <c r="Q197" s="697"/>
      <c r="R197" s="685"/>
      <c r="S197" s="679"/>
      <c r="T197" s="680"/>
      <c r="U197" s="680"/>
      <c r="V197" s="680"/>
      <c r="W197" s="680"/>
      <c r="X197" s="680"/>
      <c r="Y197" s="680"/>
      <c r="Z197" s="680"/>
      <c r="AA197" s="680"/>
    </row>
    <row r="198" spans="1:27" ht="12.75" customHeight="1" x14ac:dyDescent="0.2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85"/>
      <c r="Q198" s="697"/>
      <c r="R198" s="685"/>
      <c r="S198" s="679"/>
      <c r="T198" s="680"/>
      <c r="U198" s="680"/>
      <c r="V198" s="680"/>
      <c r="W198" s="680"/>
      <c r="X198" s="680"/>
      <c r="Y198" s="680"/>
      <c r="Z198" s="680"/>
      <c r="AA198" s="680"/>
    </row>
    <row r="199" spans="1:27" ht="12.75" customHeight="1" x14ac:dyDescent="0.2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85"/>
      <c r="Q199" s="697"/>
      <c r="R199" s="685"/>
      <c r="S199" s="679"/>
      <c r="T199" s="680"/>
      <c r="U199" s="680"/>
      <c r="V199" s="680"/>
      <c r="W199" s="680"/>
      <c r="X199" s="680"/>
      <c r="Y199" s="680"/>
      <c r="Z199" s="680"/>
      <c r="AA199" s="680"/>
    </row>
    <row r="200" spans="1:27" ht="12.75" customHeight="1" x14ac:dyDescent="0.2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85"/>
      <c r="Q200" s="697"/>
      <c r="R200" s="685"/>
      <c r="S200" s="679"/>
      <c r="T200" s="680"/>
      <c r="U200" s="680"/>
      <c r="V200" s="680"/>
      <c r="W200" s="680"/>
      <c r="X200" s="680"/>
      <c r="Y200" s="680"/>
      <c r="Z200" s="680"/>
      <c r="AA200" s="680"/>
    </row>
    <row r="201" spans="1:27" ht="12.75" customHeight="1" x14ac:dyDescent="0.2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85"/>
      <c r="Q201" s="697"/>
      <c r="R201" s="685"/>
      <c r="S201" s="679"/>
      <c r="T201" s="680"/>
      <c r="U201" s="680"/>
      <c r="V201" s="680"/>
      <c r="W201" s="680"/>
      <c r="X201" s="680"/>
      <c r="Y201" s="680"/>
      <c r="Z201" s="680"/>
      <c r="AA201" s="680"/>
    </row>
    <row r="202" spans="1:27" ht="12.75" customHeight="1" x14ac:dyDescent="0.2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85"/>
      <c r="Q202" s="697"/>
      <c r="R202" s="685"/>
      <c r="S202" s="679"/>
      <c r="T202" s="680"/>
      <c r="U202" s="680"/>
      <c r="V202" s="680"/>
      <c r="W202" s="680"/>
      <c r="X202" s="680"/>
      <c r="Y202" s="680"/>
      <c r="Z202" s="680"/>
      <c r="AA202" s="680"/>
    </row>
    <row r="203" spans="1:27" ht="12.75" customHeight="1" x14ac:dyDescent="0.2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85"/>
      <c r="Q203" s="697"/>
      <c r="R203" s="685"/>
      <c r="S203" s="679"/>
      <c r="T203" s="680"/>
      <c r="U203" s="680"/>
      <c r="V203" s="680"/>
      <c r="W203" s="680"/>
      <c r="X203" s="680"/>
      <c r="Y203" s="680"/>
      <c r="Z203" s="680"/>
      <c r="AA203" s="680"/>
    </row>
    <row r="204" spans="1:27" ht="12.75" customHeight="1" x14ac:dyDescent="0.2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85"/>
      <c r="Q204" s="697"/>
      <c r="R204" s="685"/>
      <c r="S204" s="679"/>
      <c r="T204" s="680"/>
      <c r="U204" s="680"/>
      <c r="V204" s="680"/>
      <c r="W204" s="680"/>
      <c r="X204" s="680"/>
      <c r="Y204" s="680"/>
      <c r="Z204" s="680"/>
      <c r="AA204" s="680"/>
    </row>
    <row r="205" spans="1:27" ht="12.75" customHeight="1" x14ac:dyDescent="0.2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85"/>
      <c r="Q205" s="697"/>
      <c r="R205" s="685"/>
      <c r="S205" s="679"/>
      <c r="T205" s="680"/>
      <c r="U205" s="680"/>
      <c r="V205" s="680"/>
      <c r="W205" s="680"/>
      <c r="X205" s="680"/>
      <c r="Y205" s="680"/>
      <c r="Z205" s="680"/>
      <c r="AA205" s="680"/>
    </row>
    <row r="206" spans="1:27" ht="12.75" customHeight="1" x14ac:dyDescent="0.2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85"/>
      <c r="Q206" s="697"/>
      <c r="R206" s="685"/>
      <c r="S206" s="679"/>
      <c r="T206" s="680"/>
      <c r="U206" s="680"/>
      <c r="V206" s="680"/>
      <c r="W206" s="680"/>
      <c r="X206" s="680"/>
      <c r="Y206" s="680"/>
      <c r="Z206" s="680"/>
      <c r="AA206" s="680"/>
    </row>
    <row r="207" spans="1:27" ht="12.75" customHeight="1" x14ac:dyDescent="0.2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85"/>
      <c r="Q207" s="697"/>
      <c r="R207" s="685"/>
      <c r="S207" s="679"/>
      <c r="T207" s="680"/>
      <c r="U207" s="680"/>
      <c r="V207" s="680"/>
      <c r="W207" s="680"/>
      <c r="X207" s="680"/>
      <c r="Y207" s="680"/>
      <c r="Z207" s="680"/>
      <c r="AA207" s="680"/>
    </row>
    <row r="208" spans="1:27" ht="12.75" customHeight="1" x14ac:dyDescent="0.2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85"/>
      <c r="Q208" s="697"/>
      <c r="R208" s="685"/>
      <c r="S208" s="679"/>
      <c r="T208" s="680"/>
      <c r="U208" s="680"/>
      <c r="V208" s="680"/>
      <c r="W208" s="680"/>
      <c r="X208" s="680"/>
      <c r="Y208" s="680"/>
      <c r="Z208" s="680"/>
      <c r="AA208" s="680"/>
    </row>
    <row r="209" spans="1:27" ht="12.75" customHeight="1" x14ac:dyDescent="0.2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85"/>
      <c r="Q209" s="697"/>
      <c r="R209" s="685"/>
      <c r="S209" s="679"/>
      <c r="T209" s="680"/>
      <c r="U209" s="680"/>
      <c r="V209" s="680"/>
      <c r="W209" s="680"/>
      <c r="X209" s="680"/>
      <c r="Y209" s="680"/>
      <c r="Z209" s="680"/>
      <c r="AA209" s="680"/>
    </row>
    <row r="210" spans="1:27" ht="12.75" customHeight="1" x14ac:dyDescent="0.2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85"/>
      <c r="Q210" s="697"/>
      <c r="R210" s="685"/>
      <c r="S210" s="679"/>
      <c r="T210" s="680"/>
      <c r="U210" s="680"/>
      <c r="V210" s="680"/>
      <c r="W210" s="680"/>
      <c r="X210" s="680"/>
      <c r="Y210" s="680"/>
      <c r="Z210" s="680"/>
      <c r="AA210" s="680"/>
    </row>
    <row r="211" spans="1:27" ht="12.75" customHeight="1" x14ac:dyDescent="0.2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85"/>
      <c r="Q211" s="697"/>
      <c r="R211" s="685"/>
      <c r="S211" s="679"/>
      <c r="T211" s="680"/>
      <c r="U211" s="680"/>
      <c r="V211" s="680"/>
      <c r="W211" s="680"/>
      <c r="X211" s="680"/>
      <c r="Y211" s="680"/>
      <c r="Z211" s="680"/>
      <c r="AA211" s="680"/>
    </row>
    <row r="212" spans="1:27" ht="12.75" customHeight="1" x14ac:dyDescent="0.2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85"/>
      <c r="Q212" s="697"/>
      <c r="R212" s="685"/>
      <c r="S212" s="679"/>
      <c r="T212" s="680"/>
      <c r="U212" s="680"/>
      <c r="V212" s="680"/>
      <c r="W212" s="680"/>
      <c r="X212" s="680"/>
      <c r="Y212" s="680"/>
      <c r="Z212" s="680"/>
      <c r="AA212" s="680"/>
    </row>
    <row r="213" spans="1:27" x14ac:dyDescent="0.2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93"/>
      <c r="Q213" s="693"/>
      <c r="R213" s="693"/>
      <c r="S213" s="680"/>
      <c r="T213" s="680"/>
      <c r="U213" s="680"/>
      <c r="V213" s="680"/>
      <c r="W213" s="680"/>
      <c r="X213" s="680"/>
      <c r="Y213" s="680"/>
      <c r="Z213" s="680"/>
      <c r="AA213" s="680"/>
    </row>
    <row r="214" spans="1:27" x14ac:dyDescent="0.2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93"/>
      <c r="Q214" s="693"/>
      <c r="R214" s="693"/>
      <c r="S214" s="680"/>
      <c r="T214" s="680"/>
      <c r="U214" s="680"/>
      <c r="V214" s="680"/>
      <c r="W214" s="680"/>
      <c r="X214" s="680"/>
      <c r="Y214" s="680"/>
      <c r="Z214" s="680"/>
      <c r="AA214" s="680"/>
    </row>
    <row r="215" spans="1:27" ht="12.75" customHeight="1" x14ac:dyDescent="0.2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85"/>
      <c r="Q215" s="697"/>
      <c r="R215" s="685"/>
      <c r="S215" s="679"/>
      <c r="T215" s="680"/>
      <c r="U215" s="680"/>
      <c r="V215" s="680"/>
      <c r="W215" s="680"/>
      <c r="X215" s="680"/>
      <c r="Y215" s="680"/>
      <c r="Z215" s="680"/>
      <c r="AA215" s="680"/>
    </row>
    <row r="216" spans="1:27" ht="12.75" customHeight="1" x14ac:dyDescent="0.2">
      <c r="A216" s="915" t="s">
        <v>205</v>
      </c>
      <c r="B216" s="915"/>
      <c r="C216" s="916"/>
      <c r="D216" s="916"/>
      <c r="E216" s="916"/>
      <c r="F216" s="916"/>
      <c r="G216" s="916"/>
      <c r="H216" s="916"/>
      <c r="I216" s="916"/>
      <c r="J216" s="916"/>
      <c r="K216" s="916"/>
      <c r="L216" s="916"/>
      <c r="M216" s="916"/>
      <c r="N216" s="916"/>
      <c r="O216" s="207"/>
      <c r="P216" s="685"/>
      <c r="Q216" s="697"/>
      <c r="R216" s="685"/>
      <c r="S216" s="679"/>
      <c r="T216" s="680"/>
      <c r="U216" s="680"/>
      <c r="V216" s="680"/>
      <c r="W216" s="680"/>
      <c r="X216" s="680"/>
      <c r="Y216" s="680"/>
      <c r="Z216" s="680"/>
      <c r="AA216" s="680"/>
    </row>
    <row r="217" spans="1:27" ht="12.75" customHeight="1" x14ac:dyDescent="0.2">
      <c r="A217" s="915" t="s">
        <v>141</v>
      </c>
      <c r="B217" s="915"/>
      <c r="C217" s="916"/>
      <c r="D217" s="916"/>
      <c r="E217" s="916"/>
      <c r="F217" s="916"/>
      <c r="G217" s="916"/>
      <c r="H217" s="916"/>
      <c r="I217" s="916"/>
      <c r="J217" s="916"/>
      <c r="K217" s="916"/>
      <c r="L217" s="916"/>
      <c r="M217" s="916"/>
      <c r="N217" s="916"/>
      <c r="O217" s="207"/>
      <c r="P217" s="685"/>
      <c r="Q217" s="697"/>
      <c r="R217" s="685"/>
      <c r="S217" s="679"/>
      <c r="T217" s="680"/>
      <c r="U217" s="680"/>
      <c r="V217" s="680"/>
      <c r="W217" s="680"/>
      <c r="X217" s="680"/>
      <c r="Y217" s="680"/>
      <c r="Z217" s="680"/>
      <c r="AA217" s="680"/>
    </row>
    <row r="218" spans="1:27" ht="12.75" customHeight="1" x14ac:dyDescent="0.2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85"/>
      <c r="Q218" s="697"/>
      <c r="R218" s="685"/>
      <c r="S218" s="679"/>
      <c r="T218" s="680"/>
      <c r="U218" s="680"/>
      <c r="V218" s="680"/>
      <c r="W218" s="680"/>
      <c r="X218" s="680"/>
      <c r="Y218" s="680"/>
      <c r="Z218" s="680"/>
      <c r="AA218" s="680"/>
    </row>
    <row r="219" spans="1:27" ht="12.75" customHeight="1" x14ac:dyDescent="0.2">
      <c r="A219" s="207"/>
      <c r="B219" s="207"/>
      <c r="C219" s="208" t="s">
        <v>6</v>
      </c>
      <c r="D219" s="207"/>
      <c r="E219" s="207"/>
      <c r="F219" s="919" t="str">
        <f>D5</f>
        <v/>
      </c>
      <c r="G219" s="920"/>
      <c r="H219" s="920"/>
      <c r="I219" s="920"/>
      <c r="J219" s="920"/>
      <c r="K219" s="920"/>
      <c r="L219" s="920"/>
      <c r="M219" s="207"/>
      <c r="N219" s="207"/>
      <c r="O219" s="207"/>
      <c r="P219" s="685"/>
      <c r="Q219" s="697"/>
      <c r="R219" s="685"/>
      <c r="S219" s="679"/>
      <c r="T219" s="680"/>
      <c r="U219" s="680"/>
      <c r="V219" s="680"/>
      <c r="W219" s="680"/>
      <c r="X219" s="680"/>
      <c r="Y219" s="680"/>
      <c r="Z219" s="680"/>
      <c r="AA219" s="680"/>
    </row>
    <row r="220" spans="1:27" ht="12.75" customHeight="1" x14ac:dyDescent="0.2">
      <c r="A220" s="207"/>
      <c r="B220" s="207"/>
      <c r="C220" s="208" t="s">
        <v>8</v>
      </c>
      <c r="D220" s="207"/>
      <c r="E220" s="207"/>
      <c r="F220" s="921" t="str">
        <f>D6</f>
        <v/>
      </c>
      <c r="G220" s="922"/>
      <c r="H220" s="922"/>
      <c r="I220" s="922"/>
      <c r="J220" s="922"/>
      <c r="K220" s="922"/>
      <c r="L220" s="922"/>
      <c r="M220" s="207"/>
      <c r="N220" s="207"/>
      <c r="O220" s="207"/>
      <c r="P220" s="685"/>
      <c r="Q220" s="697"/>
      <c r="R220" s="685"/>
      <c r="S220" s="679"/>
      <c r="T220" s="680"/>
      <c r="U220" s="680"/>
      <c r="V220" s="680"/>
      <c r="W220" s="680"/>
      <c r="X220" s="680"/>
      <c r="Y220" s="680"/>
      <c r="Z220" s="680"/>
      <c r="AA220" s="680"/>
    </row>
    <row r="221" spans="1:27" ht="12.75" customHeight="1" x14ac:dyDescent="0.2">
      <c r="A221" s="207"/>
      <c r="B221" s="207"/>
      <c r="C221" s="208" t="s">
        <v>122</v>
      </c>
      <c r="D221" s="207"/>
      <c r="E221" s="207"/>
      <c r="F221" s="921" t="str">
        <f>D7</f>
        <v/>
      </c>
      <c r="G221" s="922"/>
      <c r="H221" s="922"/>
      <c r="I221" s="922"/>
      <c r="J221" s="922"/>
      <c r="K221" s="922"/>
      <c r="L221" s="922"/>
      <c r="M221" s="207"/>
      <c r="N221" s="207"/>
      <c r="O221" s="207"/>
      <c r="P221" s="685"/>
      <c r="Q221" s="697"/>
      <c r="R221" s="685"/>
      <c r="S221" s="679"/>
      <c r="T221" s="680"/>
      <c r="U221" s="680"/>
      <c r="V221" s="680"/>
      <c r="W221" s="680"/>
      <c r="X221" s="680"/>
      <c r="Y221" s="680"/>
      <c r="Z221" s="680"/>
      <c r="AA221" s="680"/>
    </row>
    <row r="222" spans="1:27" ht="12.75" customHeight="1" x14ac:dyDescent="0.2">
      <c r="A222" s="207"/>
      <c r="B222" s="207"/>
      <c r="C222" s="208" t="s">
        <v>10</v>
      </c>
      <c r="D222" s="207"/>
      <c r="E222" s="207"/>
      <c r="F222" s="921" t="str">
        <f>D8</f>
        <v/>
      </c>
      <c r="G222" s="922"/>
      <c r="H222" s="922"/>
      <c r="I222" s="922"/>
      <c r="J222" s="922"/>
      <c r="K222" s="922"/>
      <c r="L222" s="922"/>
      <c r="M222" s="207"/>
      <c r="N222" s="207"/>
      <c r="O222" s="207"/>
      <c r="P222" s="685"/>
      <c r="Q222" s="685"/>
      <c r="R222" s="685"/>
      <c r="S222" s="679"/>
      <c r="T222" s="680"/>
      <c r="U222" s="680"/>
      <c r="V222" s="680"/>
      <c r="W222" s="680"/>
      <c r="X222" s="680"/>
      <c r="Y222" s="680"/>
      <c r="Z222" s="680"/>
      <c r="AA222" s="680"/>
    </row>
    <row r="223" spans="1:27" ht="12.75" customHeight="1" x14ac:dyDescent="0.2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85"/>
      <c r="Q223" s="685"/>
      <c r="R223" s="685"/>
      <c r="S223" s="679"/>
      <c r="T223" s="680"/>
      <c r="U223" s="680"/>
      <c r="V223" s="680"/>
      <c r="W223" s="680"/>
      <c r="X223" s="680"/>
      <c r="Y223" s="680"/>
      <c r="Z223" s="680"/>
      <c r="AA223" s="680"/>
    </row>
    <row r="224" spans="1:27" ht="12.75" customHeight="1" x14ac:dyDescent="0.2">
      <c r="A224" s="270" t="s">
        <v>223</v>
      </c>
      <c r="B224" s="256" t="s">
        <v>208</v>
      </c>
      <c r="C224" s="850" t="s">
        <v>144</v>
      </c>
      <c r="D224" s="852"/>
      <c r="E224" s="852"/>
      <c r="F224" s="912"/>
      <c r="G224" s="101" t="s">
        <v>109</v>
      </c>
      <c r="H224" s="923"/>
      <c r="I224" s="924"/>
      <c r="J224" s="256" t="s">
        <v>208</v>
      </c>
      <c r="K224" s="102" t="s">
        <v>145</v>
      </c>
      <c r="L224" s="103"/>
      <c r="M224" s="103"/>
      <c r="N224" s="104"/>
      <c r="O224" s="84" t="s">
        <v>109</v>
      </c>
      <c r="P224" s="686" t="s">
        <v>146</v>
      </c>
      <c r="Q224" s="685"/>
      <c r="R224" s="685"/>
      <c r="S224" s="679"/>
      <c r="T224" s="680"/>
      <c r="U224" s="680"/>
      <c r="V224" s="680"/>
      <c r="W224" s="680"/>
      <c r="X224" s="680"/>
      <c r="Y224" s="680"/>
      <c r="Z224" s="680"/>
      <c r="AA224" s="680"/>
    </row>
    <row r="225" spans="1:27" ht="12.75" customHeight="1" x14ac:dyDescent="0.2">
      <c r="A225" s="105" t="s">
        <v>228</v>
      </c>
      <c r="B225" s="108" t="s">
        <v>210</v>
      </c>
      <c r="C225" s="106" t="s">
        <v>22</v>
      </c>
      <c r="D225" s="80"/>
      <c r="E225" s="80" t="s">
        <v>225</v>
      </c>
      <c r="F225" s="107"/>
      <c r="G225" s="80" t="s">
        <v>110</v>
      </c>
      <c r="H225" s="917"/>
      <c r="I225" s="918"/>
      <c r="J225" s="108" t="s">
        <v>210</v>
      </c>
      <c r="K225" s="108" t="str">
        <f>C225</f>
        <v>Salaries</v>
      </c>
      <c r="L225" s="80"/>
      <c r="M225" s="80" t="s">
        <v>225</v>
      </c>
      <c r="N225" s="107"/>
      <c r="O225" s="80" t="s">
        <v>110</v>
      </c>
      <c r="P225" s="687" t="str">
        <f>$P$80</f>
        <v>Year or</v>
      </c>
      <c r="Q225" s="685"/>
      <c r="R225" s="685"/>
      <c r="S225" s="679"/>
      <c r="T225" s="680"/>
      <c r="U225" s="680"/>
      <c r="V225" s="680"/>
      <c r="W225" s="680"/>
      <c r="X225" s="680"/>
      <c r="Y225" s="680"/>
      <c r="Z225" s="680"/>
      <c r="AA225" s="680"/>
    </row>
    <row r="226" spans="1:27" ht="12.75" customHeight="1" x14ac:dyDescent="0.2">
      <c r="A226" s="109" t="s">
        <v>32</v>
      </c>
      <c r="B226" s="109" t="s">
        <v>221</v>
      </c>
      <c r="C226" s="110" t="s">
        <v>34</v>
      </c>
      <c r="D226" s="111" t="s">
        <v>30</v>
      </c>
      <c r="E226" s="111" t="s">
        <v>226</v>
      </c>
      <c r="F226" s="112" t="s">
        <v>46</v>
      </c>
      <c r="G226" s="113" t="s">
        <v>33</v>
      </c>
      <c r="H226" s="917" t="s">
        <v>32</v>
      </c>
      <c r="I226" s="918"/>
      <c r="J226" s="109" t="s">
        <v>221</v>
      </c>
      <c r="K226" s="129" t="str">
        <f>C226</f>
        <v>Requested</v>
      </c>
      <c r="L226" s="111" t="str">
        <f>D226</f>
        <v>Benefits</v>
      </c>
      <c r="M226" s="111" t="s">
        <v>226</v>
      </c>
      <c r="N226" s="112" t="str">
        <f>F226</f>
        <v>Totals</v>
      </c>
      <c r="O226" s="113" t="s">
        <v>33</v>
      </c>
      <c r="P226" s="688" t="str">
        <f>$P$81</f>
        <v>Portion of</v>
      </c>
      <c r="Q226" s="685"/>
      <c r="R226" s="685"/>
      <c r="S226" s="679"/>
      <c r="T226" s="680"/>
      <c r="U226" s="680"/>
      <c r="V226" s="680"/>
      <c r="W226" s="680"/>
      <c r="X226" s="680"/>
      <c r="Y226" s="680"/>
      <c r="Z226" s="680"/>
      <c r="AA226" s="680"/>
    </row>
    <row r="227" spans="1:27" ht="12.75" customHeight="1" x14ac:dyDescent="0.2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812" t="str">
        <f>IFERROR(IF(C227*0.35=0,"",C227*0.35),"")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913" t="str">
        <f t="shared" ref="H227:H266" si="42">IF(A23=0,"",A23)</f>
        <v/>
      </c>
      <c r="I227" s="914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812" t="str">
        <f>IFERROR(IF(K227*0.35=0,"",K227*0.35),"")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88" t="str">
        <f>$P$82</f>
        <v>a Year</v>
      </c>
      <c r="Q227" s="685"/>
      <c r="R227" s="680"/>
      <c r="S227" s="680"/>
      <c r="T227" s="680"/>
      <c r="U227" s="680"/>
      <c r="V227" s="680"/>
      <c r="W227" s="685"/>
      <c r="X227" s="685"/>
      <c r="Y227" s="680"/>
      <c r="Z227" s="680"/>
      <c r="AA227" s="680"/>
    </row>
    <row r="228" spans="1:27" ht="12.75" customHeight="1" x14ac:dyDescent="0.2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812" t="str">
        <f t="shared" ref="D228:D266" si="47">IFERROR(IF(C228*0.35=0,"",C228*0.35),"")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913" t="str">
        <f t="shared" si="42"/>
        <v/>
      </c>
      <c r="I228" s="914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812" t="str">
        <f t="shared" ref="L228:L266" si="48">IFERROR(IF(K228*0.35=0,"",K228*0.35),"")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89">
        <f>IF(AND(totalyrs&gt;5,totalyrs&lt;6),totalyrs-5,1)</f>
        <v>1</v>
      </c>
      <c r="Q228" s="698" t="s">
        <v>147</v>
      </c>
      <c r="R228" s="680"/>
      <c r="S228" s="680"/>
      <c r="T228" s="680"/>
      <c r="U228" s="680"/>
      <c r="V228" s="680"/>
      <c r="W228" s="685"/>
      <c r="X228" s="685"/>
      <c r="Y228" s="680"/>
      <c r="Z228" s="680"/>
      <c r="AA228" s="680"/>
    </row>
    <row r="229" spans="1:27" ht="12.75" customHeight="1" x14ac:dyDescent="0.2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812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913" t="str">
        <f t="shared" si="42"/>
        <v/>
      </c>
      <c r="I229" s="914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812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89">
        <f>IF(AND(totalyrs&gt;6,totalyrs&lt;7),totalyrs-6,1)</f>
        <v>1</v>
      </c>
      <c r="Q229" s="690" t="s">
        <v>148</v>
      </c>
      <c r="R229" s="680"/>
      <c r="S229" s="680"/>
      <c r="T229" s="680"/>
      <c r="U229" s="680"/>
      <c r="V229" s="680"/>
      <c r="W229" s="685"/>
      <c r="X229" s="685"/>
      <c r="Y229" s="680"/>
      <c r="Z229" s="680"/>
      <c r="AA229" s="680"/>
    </row>
    <row r="230" spans="1:27" ht="12.75" customHeight="1" x14ac:dyDescent="0.2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812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913" t="str">
        <f t="shared" si="42"/>
        <v/>
      </c>
      <c r="I230" s="914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812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88"/>
      <c r="Q230" s="685"/>
      <c r="R230" s="680"/>
      <c r="S230" s="680"/>
      <c r="T230" s="680"/>
      <c r="U230" s="680"/>
      <c r="V230" s="680"/>
      <c r="W230" s="685"/>
      <c r="X230" s="685"/>
      <c r="Y230" s="680"/>
      <c r="Z230" s="680"/>
      <c r="AA230" s="680"/>
    </row>
    <row r="231" spans="1:27" ht="12.75" customHeight="1" x14ac:dyDescent="0.2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812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913" t="str">
        <f t="shared" si="42"/>
        <v/>
      </c>
      <c r="I231" s="914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812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88"/>
      <c r="Q231" s="685"/>
      <c r="R231" s="680"/>
      <c r="S231" s="680"/>
      <c r="T231" s="680"/>
      <c r="U231" s="680"/>
      <c r="V231" s="680"/>
      <c r="W231" s="685"/>
      <c r="X231" s="685"/>
      <c r="Y231" s="680"/>
      <c r="Z231" s="680"/>
      <c r="AA231" s="680"/>
    </row>
    <row r="232" spans="1:27" ht="12.75" customHeight="1" x14ac:dyDescent="0.2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812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913" t="str">
        <f t="shared" si="42"/>
        <v/>
      </c>
      <c r="I232" s="914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812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88"/>
      <c r="Q232" s="685"/>
      <c r="R232" s="680"/>
      <c r="S232" s="680"/>
      <c r="T232" s="680"/>
      <c r="U232" s="680"/>
      <c r="V232" s="680"/>
      <c r="W232" s="685"/>
      <c r="X232" s="685"/>
      <c r="Y232" s="680"/>
      <c r="Z232" s="680"/>
      <c r="AA232" s="680"/>
    </row>
    <row r="233" spans="1:27" ht="12.75" customHeight="1" x14ac:dyDescent="0.2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812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913" t="str">
        <f t="shared" si="42"/>
        <v/>
      </c>
      <c r="I233" s="914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812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88"/>
      <c r="Q233" s="685"/>
      <c r="R233" s="680"/>
      <c r="S233" s="680"/>
      <c r="T233" s="680"/>
      <c r="U233" s="680"/>
      <c r="V233" s="680"/>
      <c r="W233" s="685"/>
      <c r="X233" s="685"/>
      <c r="Y233" s="680"/>
      <c r="Z233" s="680"/>
      <c r="AA233" s="680"/>
    </row>
    <row r="234" spans="1:27" ht="12.75" customHeight="1" x14ac:dyDescent="0.2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812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913" t="str">
        <f t="shared" si="42"/>
        <v/>
      </c>
      <c r="I234" s="914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812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88"/>
      <c r="Q234" s="685"/>
      <c r="R234" s="680"/>
      <c r="S234" s="680"/>
      <c r="T234" s="680"/>
      <c r="U234" s="680"/>
      <c r="V234" s="680"/>
      <c r="W234" s="685"/>
      <c r="X234" s="685"/>
      <c r="Y234" s="680"/>
      <c r="Z234" s="680"/>
      <c r="AA234" s="680"/>
    </row>
    <row r="235" spans="1:27" x14ac:dyDescent="0.2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812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913" t="str">
        <f t="shared" si="42"/>
        <v/>
      </c>
      <c r="I235" s="914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812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88"/>
      <c r="Q235" s="685"/>
      <c r="R235" s="680"/>
      <c r="S235" s="680"/>
      <c r="T235" s="680"/>
      <c r="U235" s="680"/>
      <c r="V235" s="680"/>
      <c r="W235" s="685"/>
      <c r="X235" s="685"/>
      <c r="Y235" s="680"/>
      <c r="Z235" s="680"/>
      <c r="AA235" s="680"/>
    </row>
    <row r="236" spans="1:27" x14ac:dyDescent="0.2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812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913" t="str">
        <f t="shared" si="42"/>
        <v/>
      </c>
      <c r="I236" s="914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812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88"/>
      <c r="Q236" s="685"/>
      <c r="R236" s="680"/>
      <c r="S236" s="680"/>
      <c r="T236" s="680"/>
      <c r="U236" s="680"/>
      <c r="V236" s="680"/>
      <c r="W236" s="685"/>
      <c r="X236" s="685"/>
      <c r="Y236" s="680"/>
      <c r="Z236" s="680"/>
      <c r="AA236" s="680"/>
    </row>
    <row r="237" spans="1:27" x14ac:dyDescent="0.2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812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913" t="str">
        <f t="shared" si="42"/>
        <v/>
      </c>
      <c r="I237" s="914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812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88"/>
      <c r="Q237" s="685"/>
      <c r="R237" s="680"/>
      <c r="S237" s="680"/>
      <c r="T237" s="680"/>
      <c r="U237" s="680"/>
      <c r="V237" s="680"/>
      <c r="W237" s="685"/>
      <c r="X237" s="685"/>
      <c r="Y237" s="680"/>
      <c r="Z237" s="680"/>
      <c r="AA237" s="680"/>
    </row>
    <row r="238" spans="1:27" x14ac:dyDescent="0.2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812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913" t="str">
        <f t="shared" si="42"/>
        <v/>
      </c>
      <c r="I238" s="914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812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93"/>
      <c r="Q238" s="693"/>
      <c r="R238" s="680"/>
      <c r="S238" s="680"/>
      <c r="T238" s="680"/>
      <c r="U238" s="680"/>
      <c r="V238" s="680"/>
      <c r="W238" s="685"/>
      <c r="X238" s="685"/>
      <c r="Y238" s="680"/>
      <c r="Z238" s="680"/>
      <c r="AA238" s="680"/>
    </row>
    <row r="239" spans="1:27" ht="12.75" customHeight="1" x14ac:dyDescent="0.2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812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913" t="str">
        <f t="shared" si="42"/>
        <v/>
      </c>
      <c r="I239" s="914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812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93"/>
      <c r="Q239" s="693"/>
      <c r="R239" s="680"/>
      <c r="S239" s="680"/>
      <c r="T239" s="680"/>
      <c r="U239" s="680"/>
      <c r="V239" s="680"/>
      <c r="W239" s="685"/>
      <c r="X239" s="685"/>
      <c r="Y239" s="680"/>
      <c r="Z239" s="680"/>
      <c r="AA239" s="680"/>
    </row>
    <row r="240" spans="1:27" x14ac:dyDescent="0.2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812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913" t="str">
        <f t="shared" si="42"/>
        <v/>
      </c>
      <c r="I240" s="914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812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93"/>
      <c r="Q240" s="693"/>
      <c r="R240" s="680"/>
      <c r="S240" s="680"/>
      <c r="T240" s="680"/>
      <c r="U240" s="680"/>
      <c r="V240" s="680"/>
      <c r="W240" s="685"/>
      <c r="X240" s="685"/>
      <c r="Y240" s="680"/>
      <c r="Z240" s="680"/>
      <c r="AA240" s="680"/>
    </row>
    <row r="241" spans="1:27" x14ac:dyDescent="0.2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812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913" t="str">
        <f t="shared" si="42"/>
        <v/>
      </c>
      <c r="I241" s="914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812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85"/>
      <c r="Q241" s="685"/>
      <c r="R241" s="680"/>
      <c r="S241" s="680"/>
      <c r="T241" s="680"/>
      <c r="U241" s="680"/>
      <c r="V241" s="680"/>
      <c r="W241" s="685"/>
      <c r="X241" s="685"/>
      <c r="Y241" s="680"/>
      <c r="Z241" s="680"/>
      <c r="AA241" s="680"/>
    </row>
    <row r="242" spans="1:27" x14ac:dyDescent="0.2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812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913" t="str">
        <f t="shared" si="42"/>
        <v/>
      </c>
      <c r="I242" s="914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812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85"/>
      <c r="Q242" s="685"/>
      <c r="R242" s="680"/>
      <c r="S242" s="680"/>
      <c r="T242" s="680"/>
      <c r="U242" s="680"/>
      <c r="V242" s="680"/>
      <c r="W242" s="685"/>
      <c r="X242" s="685"/>
      <c r="Y242" s="680"/>
      <c r="Z242" s="680"/>
      <c r="AA242" s="680"/>
    </row>
    <row r="243" spans="1:27" x14ac:dyDescent="0.2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812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913" t="str">
        <f t="shared" si="42"/>
        <v/>
      </c>
      <c r="I243" s="914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812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85"/>
      <c r="Q243" s="685"/>
      <c r="R243" s="680"/>
      <c r="S243" s="680"/>
      <c r="T243" s="680"/>
      <c r="U243" s="680"/>
      <c r="V243" s="680"/>
      <c r="W243" s="685"/>
      <c r="X243" s="685"/>
      <c r="Y243" s="680"/>
      <c r="Z243" s="680"/>
      <c r="AA243" s="680"/>
    </row>
    <row r="244" spans="1:27" x14ac:dyDescent="0.2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812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913" t="str">
        <f t="shared" si="42"/>
        <v/>
      </c>
      <c r="I244" s="914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812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85"/>
      <c r="Q244" s="685"/>
      <c r="R244" s="680"/>
      <c r="S244" s="680"/>
      <c r="T244" s="680"/>
      <c r="U244" s="680"/>
      <c r="V244" s="680"/>
      <c r="W244" s="685"/>
      <c r="X244" s="685"/>
      <c r="Y244" s="680"/>
      <c r="Z244" s="680"/>
      <c r="AA244" s="680"/>
    </row>
    <row r="245" spans="1:27" x14ac:dyDescent="0.2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812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913" t="str">
        <f t="shared" si="42"/>
        <v/>
      </c>
      <c r="I245" s="914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812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85"/>
      <c r="Q245" s="685"/>
      <c r="R245" s="680"/>
      <c r="S245" s="680"/>
      <c r="T245" s="680"/>
      <c r="U245" s="680"/>
      <c r="V245" s="680"/>
      <c r="W245" s="685"/>
      <c r="X245" s="685"/>
      <c r="Y245" s="680"/>
      <c r="Z245" s="680"/>
      <c r="AA245" s="680"/>
    </row>
    <row r="246" spans="1:27" x14ac:dyDescent="0.2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812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913" t="str">
        <f t="shared" si="42"/>
        <v/>
      </c>
      <c r="I246" s="914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812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85"/>
      <c r="Q246" s="685"/>
      <c r="R246" s="680"/>
      <c r="S246" s="680"/>
      <c r="T246" s="680"/>
      <c r="U246" s="680"/>
      <c r="V246" s="680"/>
      <c r="W246" s="685"/>
      <c r="X246" s="685"/>
      <c r="Y246" s="680"/>
      <c r="Z246" s="680"/>
      <c r="AA246" s="680"/>
    </row>
    <row r="247" spans="1:27" x14ac:dyDescent="0.2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812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913" t="str">
        <f t="shared" si="42"/>
        <v/>
      </c>
      <c r="I247" s="914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812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85"/>
      <c r="Q247" s="685"/>
      <c r="R247" s="680"/>
      <c r="S247" s="680"/>
      <c r="T247" s="680"/>
      <c r="U247" s="680"/>
      <c r="V247" s="680"/>
      <c r="W247" s="685"/>
      <c r="X247" s="685"/>
      <c r="Y247" s="680"/>
      <c r="Z247" s="680"/>
      <c r="AA247" s="680"/>
    </row>
    <row r="248" spans="1:27" x14ac:dyDescent="0.2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812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913" t="str">
        <f t="shared" si="42"/>
        <v/>
      </c>
      <c r="I248" s="914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812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85"/>
      <c r="Q248" s="685"/>
      <c r="R248" s="680"/>
      <c r="S248" s="680"/>
      <c r="T248" s="680"/>
      <c r="U248" s="680"/>
      <c r="V248" s="680"/>
      <c r="W248" s="685"/>
      <c r="X248" s="685"/>
      <c r="Y248" s="680"/>
      <c r="Z248" s="680"/>
      <c r="AA248" s="680"/>
    </row>
    <row r="249" spans="1:27" x14ac:dyDescent="0.2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812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913" t="str">
        <f t="shared" si="42"/>
        <v/>
      </c>
      <c r="I249" s="914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812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85"/>
      <c r="Q249" s="685"/>
      <c r="R249" s="680"/>
      <c r="S249" s="680"/>
      <c r="T249" s="680"/>
      <c r="U249" s="680"/>
      <c r="V249" s="680"/>
      <c r="W249" s="685"/>
      <c r="X249" s="685"/>
      <c r="Y249" s="680"/>
      <c r="Z249" s="680"/>
      <c r="AA249" s="680"/>
    </row>
    <row r="250" spans="1:27" x14ac:dyDescent="0.2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812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913" t="str">
        <f t="shared" si="42"/>
        <v/>
      </c>
      <c r="I250" s="914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812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85"/>
      <c r="Q250" s="685"/>
      <c r="R250" s="680"/>
      <c r="S250" s="680"/>
      <c r="T250" s="680"/>
      <c r="U250" s="680"/>
      <c r="V250" s="680"/>
      <c r="W250" s="685"/>
      <c r="X250" s="685"/>
      <c r="Y250" s="680"/>
      <c r="Z250" s="680"/>
      <c r="AA250" s="680"/>
    </row>
    <row r="251" spans="1:27" x14ac:dyDescent="0.2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812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913" t="str">
        <f t="shared" si="42"/>
        <v/>
      </c>
      <c r="I251" s="914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812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85"/>
      <c r="Q251" s="685"/>
      <c r="R251" s="680"/>
      <c r="S251" s="680"/>
      <c r="T251" s="680"/>
      <c r="U251" s="680"/>
      <c r="V251" s="680"/>
      <c r="W251" s="685"/>
      <c r="X251" s="685"/>
      <c r="Y251" s="680"/>
      <c r="Z251" s="680"/>
      <c r="AA251" s="680"/>
    </row>
    <row r="252" spans="1:27" x14ac:dyDescent="0.2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812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913" t="str">
        <f t="shared" si="42"/>
        <v/>
      </c>
      <c r="I252" s="914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812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85"/>
      <c r="Q252" s="685"/>
      <c r="R252" s="680"/>
      <c r="S252" s="680"/>
      <c r="T252" s="680"/>
      <c r="U252" s="680"/>
      <c r="V252" s="680"/>
      <c r="W252" s="685"/>
      <c r="X252" s="685"/>
      <c r="Y252" s="680"/>
      <c r="Z252" s="680"/>
      <c r="AA252" s="680"/>
    </row>
    <row r="253" spans="1:27" x14ac:dyDescent="0.2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812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913" t="str">
        <f t="shared" si="42"/>
        <v/>
      </c>
      <c r="I253" s="914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812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85"/>
      <c r="Q253" s="685"/>
      <c r="R253" s="680"/>
      <c r="S253" s="680"/>
      <c r="T253" s="680"/>
      <c r="U253" s="680"/>
      <c r="V253" s="680"/>
      <c r="W253" s="685"/>
      <c r="X253" s="685"/>
      <c r="Y253" s="680"/>
      <c r="Z253" s="680"/>
      <c r="AA253" s="680"/>
    </row>
    <row r="254" spans="1:27" x14ac:dyDescent="0.2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812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913" t="str">
        <f t="shared" si="42"/>
        <v/>
      </c>
      <c r="I254" s="914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812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85"/>
      <c r="Q254" s="685"/>
      <c r="R254" s="680"/>
      <c r="S254" s="680"/>
      <c r="T254" s="680"/>
      <c r="U254" s="680"/>
      <c r="V254" s="680"/>
      <c r="W254" s="685"/>
      <c r="X254" s="685"/>
      <c r="Y254" s="680"/>
      <c r="Z254" s="680"/>
      <c r="AA254" s="680"/>
    </row>
    <row r="255" spans="1:27" x14ac:dyDescent="0.2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812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913" t="str">
        <f t="shared" si="42"/>
        <v/>
      </c>
      <c r="I255" s="914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812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85"/>
      <c r="Q255" s="685"/>
      <c r="R255" s="680"/>
      <c r="S255" s="680"/>
      <c r="T255" s="680"/>
      <c r="U255" s="680"/>
      <c r="V255" s="680"/>
      <c r="W255" s="685"/>
      <c r="X255" s="685"/>
      <c r="Y255" s="680"/>
      <c r="Z255" s="680"/>
      <c r="AA255" s="680"/>
    </row>
    <row r="256" spans="1:27" x14ac:dyDescent="0.2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812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913" t="str">
        <f t="shared" si="42"/>
        <v/>
      </c>
      <c r="I256" s="914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812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85"/>
      <c r="Q256" s="685"/>
      <c r="R256" s="680"/>
      <c r="S256" s="680"/>
      <c r="T256" s="680"/>
      <c r="U256" s="680"/>
      <c r="V256" s="680"/>
      <c r="W256" s="685"/>
      <c r="X256" s="685"/>
      <c r="Y256" s="680"/>
      <c r="Z256" s="680"/>
      <c r="AA256" s="680"/>
    </row>
    <row r="257" spans="1:27" x14ac:dyDescent="0.2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812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913" t="str">
        <f t="shared" si="42"/>
        <v/>
      </c>
      <c r="I257" s="914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812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85"/>
      <c r="Q257" s="685"/>
      <c r="R257" s="680"/>
      <c r="S257" s="680"/>
      <c r="T257" s="680"/>
      <c r="U257" s="680"/>
      <c r="V257" s="680"/>
      <c r="W257" s="685"/>
      <c r="X257" s="685"/>
      <c r="Y257" s="680"/>
      <c r="Z257" s="680"/>
      <c r="AA257" s="680"/>
    </row>
    <row r="258" spans="1:27" x14ac:dyDescent="0.2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812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913" t="str">
        <f t="shared" si="42"/>
        <v/>
      </c>
      <c r="I258" s="914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812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85"/>
      <c r="Q258" s="685"/>
      <c r="R258" s="680"/>
      <c r="S258" s="680"/>
      <c r="T258" s="680"/>
      <c r="U258" s="680"/>
      <c r="V258" s="680"/>
      <c r="W258" s="685"/>
      <c r="X258" s="685"/>
      <c r="Y258" s="680"/>
      <c r="Z258" s="680"/>
      <c r="AA258" s="680"/>
    </row>
    <row r="259" spans="1:27" x14ac:dyDescent="0.2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812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913" t="str">
        <f t="shared" si="42"/>
        <v/>
      </c>
      <c r="I259" s="914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812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85"/>
      <c r="Q259" s="685"/>
      <c r="R259" s="680"/>
      <c r="S259" s="680"/>
      <c r="T259" s="680"/>
      <c r="U259" s="680"/>
      <c r="V259" s="680"/>
      <c r="W259" s="685"/>
      <c r="X259" s="685"/>
      <c r="Y259" s="680"/>
      <c r="Z259" s="680"/>
      <c r="AA259" s="680"/>
    </row>
    <row r="260" spans="1:27" x14ac:dyDescent="0.2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812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913" t="str">
        <f t="shared" si="42"/>
        <v/>
      </c>
      <c r="I260" s="914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812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85"/>
      <c r="Q260" s="685"/>
      <c r="R260" s="680"/>
      <c r="S260" s="680"/>
      <c r="T260" s="680"/>
      <c r="U260" s="680"/>
      <c r="V260" s="680"/>
      <c r="W260" s="685"/>
      <c r="X260" s="685"/>
      <c r="Y260" s="680"/>
      <c r="Z260" s="680"/>
      <c r="AA260" s="680"/>
    </row>
    <row r="261" spans="1:27" x14ac:dyDescent="0.2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812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913" t="str">
        <f t="shared" si="42"/>
        <v/>
      </c>
      <c r="I261" s="914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812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85"/>
      <c r="Q261" s="685"/>
      <c r="R261" s="680"/>
      <c r="S261" s="680"/>
      <c r="T261" s="680"/>
      <c r="U261" s="680"/>
      <c r="V261" s="680"/>
      <c r="W261" s="685"/>
      <c r="X261" s="685"/>
      <c r="Y261" s="680"/>
      <c r="Z261" s="680"/>
      <c r="AA261" s="680"/>
    </row>
    <row r="262" spans="1:27" x14ac:dyDescent="0.2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812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913" t="str">
        <f t="shared" si="42"/>
        <v/>
      </c>
      <c r="I262" s="914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812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85"/>
      <c r="Q262" s="685"/>
      <c r="R262" s="680"/>
      <c r="S262" s="680"/>
      <c r="T262" s="680"/>
      <c r="U262" s="680"/>
      <c r="V262" s="680"/>
      <c r="W262" s="685"/>
      <c r="X262" s="685"/>
      <c r="Y262" s="680"/>
      <c r="Z262" s="680"/>
      <c r="AA262" s="680"/>
    </row>
    <row r="263" spans="1:27" x14ac:dyDescent="0.2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812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913" t="str">
        <f t="shared" si="42"/>
        <v/>
      </c>
      <c r="I263" s="914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812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85"/>
      <c r="Q263" s="685"/>
      <c r="R263" s="680"/>
      <c r="S263" s="680"/>
      <c r="T263" s="680"/>
      <c r="U263" s="680"/>
      <c r="V263" s="680"/>
      <c r="W263" s="685"/>
      <c r="X263" s="685"/>
      <c r="Y263" s="680"/>
      <c r="Z263" s="680"/>
      <c r="AA263" s="680"/>
    </row>
    <row r="264" spans="1:27" x14ac:dyDescent="0.2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812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913" t="str">
        <f t="shared" si="42"/>
        <v/>
      </c>
      <c r="I264" s="914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812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85"/>
      <c r="Q264" s="685"/>
      <c r="R264" s="680"/>
      <c r="S264" s="680"/>
      <c r="T264" s="680"/>
      <c r="U264" s="680"/>
      <c r="V264" s="680"/>
      <c r="W264" s="685"/>
      <c r="X264" s="685"/>
      <c r="Y264" s="680"/>
      <c r="Z264" s="680"/>
      <c r="AA264" s="680"/>
    </row>
    <row r="265" spans="1:27" x14ac:dyDescent="0.2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812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913" t="str">
        <f t="shared" si="42"/>
        <v/>
      </c>
      <c r="I265" s="914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812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85"/>
      <c r="Q265" s="685"/>
      <c r="R265" s="680"/>
      <c r="S265" s="680"/>
      <c r="T265" s="680"/>
      <c r="U265" s="680"/>
      <c r="V265" s="680"/>
      <c r="W265" s="685"/>
      <c r="X265" s="685"/>
      <c r="Y265" s="680"/>
      <c r="Z265" s="680"/>
      <c r="AA265" s="680"/>
    </row>
    <row r="266" spans="1:27" x14ac:dyDescent="0.2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812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913" t="str">
        <f t="shared" si="42"/>
        <v/>
      </c>
      <c r="I266" s="914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812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85"/>
      <c r="Q266" s="685"/>
      <c r="R266" s="680"/>
      <c r="S266" s="680"/>
      <c r="T266" s="680"/>
      <c r="U266" s="680"/>
      <c r="V266" s="680"/>
      <c r="W266" s="685"/>
      <c r="X266" s="685"/>
      <c r="Y266" s="680"/>
      <c r="Z266" s="680"/>
      <c r="AA266" s="680"/>
    </row>
    <row r="267" spans="1:27" x14ac:dyDescent="0.2">
      <c r="A267" s="122" t="s">
        <v>50</v>
      </c>
      <c r="B267" s="282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3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85"/>
      <c r="Q267" s="685"/>
      <c r="R267" s="693"/>
      <c r="S267" s="680"/>
      <c r="T267" s="680"/>
      <c r="U267" s="680"/>
      <c r="V267" s="680"/>
      <c r="W267" s="680"/>
      <c r="X267" s="680"/>
      <c r="Y267" s="680"/>
      <c r="Z267" s="680"/>
      <c r="AA267" s="680"/>
    </row>
    <row r="268" spans="1:27" x14ac:dyDescent="0.2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85"/>
      <c r="Q268" s="697"/>
      <c r="R268" s="693"/>
      <c r="S268" s="680"/>
      <c r="T268" s="680"/>
      <c r="U268" s="680"/>
      <c r="V268" s="680"/>
      <c r="W268" s="680"/>
      <c r="X268" s="680"/>
      <c r="Y268" s="680"/>
      <c r="Z268" s="680"/>
      <c r="AA268" s="680"/>
    </row>
    <row r="269" spans="1:27" x14ac:dyDescent="0.2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85"/>
      <c r="Q269" s="697"/>
      <c r="R269" s="693"/>
      <c r="S269" s="680"/>
      <c r="T269" s="680"/>
      <c r="U269" s="680"/>
      <c r="V269" s="680"/>
      <c r="W269" s="680"/>
      <c r="X269" s="680"/>
      <c r="Y269" s="680"/>
      <c r="Z269" s="680"/>
      <c r="AA269" s="680"/>
    </row>
    <row r="270" spans="1:27" x14ac:dyDescent="0.2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85"/>
      <c r="Q270" s="697"/>
      <c r="R270" s="693"/>
      <c r="S270" s="680"/>
      <c r="T270" s="680"/>
      <c r="U270" s="680"/>
      <c r="V270" s="680"/>
      <c r="W270" s="680"/>
      <c r="X270" s="680"/>
      <c r="Y270" s="680"/>
      <c r="Z270" s="680"/>
      <c r="AA270" s="680"/>
    </row>
    <row r="271" spans="1:27" x14ac:dyDescent="0.2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85"/>
      <c r="Q271" s="697"/>
      <c r="R271" s="693"/>
      <c r="S271" s="680"/>
      <c r="T271" s="680"/>
      <c r="U271" s="680"/>
      <c r="V271" s="680"/>
      <c r="W271" s="680"/>
      <c r="X271" s="680"/>
      <c r="Y271" s="680"/>
      <c r="Z271" s="680"/>
      <c r="AA271" s="680"/>
    </row>
    <row r="272" spans="1:27" x14ac:dyDescent="0.2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85"/>
      <c r="Q272" s="697"/>
      <c r="R272" s="693"/>
      <c r="S272" s="680"/>
      <c r="T272" s="680"/>
      <c r="U272" s="680"/>
      <c r="V272" s="680"/>
      <c r="W272" s="680"/>
      <c r="X272" s="680"/>
      <c r="Y272" s="680"/>
      <c r="Z272" s="680"/>
      <c r="AA272" s="680"/>
    </row>
    <row r="273" spans="1:27" x14ac:dyDescent="0.2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85"/>
      <c r="Q273" s="697"/>
      <c r="R273" s="693"/>
      <c r="S273" s="680"/>
      <c r="T273" s="680"/>
      <c r="U273" s="680"/>
      <c r="V273" s="680"/>
      <c r="W273" s="680"/>
      <c r="X273" s="680"/>
      <c r="Y273" s="680"/>
      <c r="Z273" s="680"/>
      <c r="AA273" s="680"/>
    </row>
    <row r="274" spans="1:27" x14ac:dyDescent="0.2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85"/>
      <c r="Q274" s="697"/>
      <c r="R274" s="693"/>
      <c r="S274" s="680"/>
      <c r="T274" s="680"/>
      <c r="U274" s="680"/>
      <c r="V274" s="680"/>
      <c r="W274" s="680"/>
      <c r="X274" s="680"/>
      <c r="Y274" s="680"/>
      <c r="Z274" s="680"/>
      <c r="AA274" s="680"/>
    </row>
    <row r="275" spans="1:27" x14ac:dyDescent="0.2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85"/>
      <c r="Q275" s="697"/>
      <c r="R275" s="693"/>
      <c r="S275" s="680"/>
      <c r="T275" s="680"/>
      <c r="U275" s="680"/>
      <c r="V275" s="680"/>
      <c r="W275" s="680"/>
      <c r="X275" s="680"/>
      <c r="Y275" s="680"/>
      <c r="Z275" s="680"/>
      <c r="AA275" s="680"/>
    </row>
    <row r="276" spans="1:27" x14ac:dyDescent="0.2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85"/>
      <c r="Q276" s="697"/>
      <c r="R276" s="693"/>
      <c r="S276" s="680"/>
      <c r="T276" s="680"/>
      <c r="U276" s="680"/>
      <c r="V276" s="680"/>
      <c r="W276" s="680"/>
      <c r="X276" s="680"/>
      <c r="Y276" s="680"/>
      <c r="Z276" s="680"/>
      <c r="AA276" s="680"/>
    </row>
    <row r="277" spans="1:27" x14ac:dyDescent="0.2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85"/>
      <c r="Q277" s="697"/>
      <c r="R277" s="693"/>
      <c r="S277" s="680"/>
      <c r="T277" s="680"/>
      <c r="U277" s="680"/>
      <c r="V277" s="680"/>
      <c r="W277" s="680"/>
      <c r="X277" s="680"/>
      <c r="Y277" s="680"/>
      <c r="Z277" s="680"/>
      <c r="AA277" s="680"/>
    </row>
    <row r="278" spans="1:27" x14ac:dyDescent="0.2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85"/>
      <c r="Q278" s="697"/>
      <c r="R278" s="693"/>
      <c r="S278" s="680"/>
      <c r="T278" s="680"/>
      <c r="U278" s="680"/>
      <c r="V278" s="680"/>
      <c r="W278" s="680"/>
      <c r="X278" s="680"/>
      <c r="Y278" s="680"/>
      <c r="Z278" s="680"/>
      <c r="AA278" s="680"/>
    </row>
    <row r="279" spans="1:27" x14ac:dyDescent="0.2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85"/>
      <c r="Q279" s="697"/>
      <c r="R279" s="693"/>
      <c r="S279" s="680"/>
      <c r="T279" s="680"/>
      <c r="U279" s="680"/>
      <c r="V279" s="680"/>
      <c r="W279" s="680"/>
      <c r="X279" s="680"/>
      <c r="Y279" s="680"/>
      <c r="Z279" s="680"/>
      <c r="AA279" s="680"/>
    </row>
    <row r="280" spans="1:27" x14ac:dyDescent="0.2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85"/>
      <c r="Q280" s="697"/>
      <c r="R280" s="693"/>
      <c r="S280" s="680"/>
      <c r="T280" s="680"/>
      <c r="U280" s="680"/>
      <c r="V280" s="680"/>
      <c r="W280" s="680"/>
      <c r="X280" s="680"/>
      <c r="Y280" s="680"/>
      <c r="Z280" s="680"/>
      <c r="AA280" s="680"/>
    </row>
    <row r="281" spans="1:27" x14ac:dyDescent="0.2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85"/>
      <c r="Q281" s="697"/>
      <c r="R281" s="693"/>
      <c r="S281" s="680"/>
      <c r="T281" s="680"/>
      <c r="U281" s="680"/>
      <c r="V281" s="680"/>
      <c r="W281" s="680"/>
      <c r="X281" s="680"/>
      <c r="Y281" s="680"/>
      <c r="Z281" s="680"/>
      <c r="AA281" s="680"/>
    </row>
    <row r="282" spans="1:27" x14ac:dyDescent="0.2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85"/>
      <c r="Q282" s="697"/>
      <c r="R282" s="693"/>
      <c r="S282" s="680"/>
      <c r="T282" s="680"/>
      <c r="U282" s="680"/>
      <c r="V282" s="680"/>
      <c r="W282" s="680"/>
      <c r="X282" s="680"/>
      <c r="Y282" s="680"/>
      <c r="Z282" s="680"/>
      <c r="AA282" s="680"/>
    </row>
    <row r="283" spans="1:27" x14ac:dyDescent="0.2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85"/>
      <c r="Q283" s="697"/>
      <c r="R283" s="693"/>
      <c r="S283" s="680"/>
      <c r="T283" s="680"/>
      <c r="U283" s="680"/>
      <c r="V283" s="680"/>
      <c r="W283" s="680"/>
      <c r="X283" s="680"/>
      <c r="Y283" s="680"/>
      <c r="Z283" s="680"/>
      <c r="AA283" s="680"/>
    </row>
    <row r="284" spans="1:27" x14ac:dyDescent="0.2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85"/>
      <c r="Q284" s="697"/>
      <c r="R284" s="693"/>
      <c r="S284" s="680"/>
      <c r="T284" s="680"/>
      <c r="U284" s="680"/>
      <c r="V284" s="680"/>
      <c r="W284" s="680"/>
      <c r="X284" s="680"/>
      <c r="Y284" s="680"/>
      <c r="Z284" s="680"/>
      <c r="AA284" s="680"/>
    </row>
    <row r="285" spans="1:27" x14ac:dyDescent="0.2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85"/>
      <c r="Q285" s="697"/>
      <c r="R285" s="693"/>
      <c r="S285" s="680"/>
      <c r="T285" s="680"/>
      <c r="U285" s="680"/>
      <c r="V285" s="680"/>
      <c r="W285" s="680"/>
      <c r="X285" s="680"/>
      <c r="Y285" s="680"/>
      <c r="Z285" s="680"/>
      <c r="AA285" s="680"/>
    </row>
    <row r="286" spans="1:27" x14ac:dyDescent="0.2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93"/>
      <c r="Q286" s="693"/>
      <c r="R286" s="693"/>
      <c r="S286" s="680"/>
      <c r="T286" s="680"/>
      <c r="U286" s="680"/>
      <c r="V286" s="680"/>
      <c r="W286" s="680"/>
      <c r="X286" s="680"/>
      <c r="Y286" s="680"/>
      <c r="Z286" s="680"/>
      <c r="AA286" s="680"/>
    </row>
    <row r="287" spans="1:27" x14ac:dyDescent="0.2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93"/>
      <c r="Q287" s="693"/>
      <c r="R287" s="693"/>
      <c r="S287" s="680"/>
      <c r="T287" s="680"/>
      <c r="U287" s="680"/>
      <c r="V287" s="680"/>
      <c r="W287" s="680"/>
      <c r="X287" s="680"/>
      <c r="Y287" s="680"/>
      <c r="Z287" s="680"/>
      <c r="AA287" s="680"/>
    </row>
    <row r="288" spans="1:27" x14ac:dyDescent="0.2">
      <c r="A288" s="915" t="s">
        <v>205</v>
      </c>
      <c r="B288" s="915"/>
      <c r="C288" s="916"/>
      <c r="D288" s="916"/>
      <c r="E288" s="916"/>
      <c r="F288" s="916"/>
      <c r="G288" s="916"/>
      <c r="H288" s="916"/>
      <c r="I288" s="916"/>
      <c r="J288" s="916"/>
      <c r="K288" s="916"/>
      <c r="L288" s="916"/>
      <c r="M288" s="916"/>
      <c r="N288" s="916"/>
      <c r="O288" s="207"/>
      <c r="P288" s="685"/>
      <c r="Q288" s="697"/>
      <c r="R288" s="693"/>
      <c r="S288" s="680"/>
      <c r="T288" s="680"/>
      <c r="U288" s="680"/>
      <c r="V288" s="680"/>
      <c r="W288" s="680"/>
      <c r="X288" s="680"/>
      <c r="Y288" s="680"/>
      <c r="Z288" s="680"/>
      <c r="AA288" s="680"/>
    </row>
    <row r="289" spans="1:27" x14ac:dyDescent="0.2">
      <c r="A289" s="915" t="s">
        <v>143</v>
      </c>
      <c r="B289" s="915"/>
      <c r="C289" s="916"/>
      <c r="D289" s="916"/>
      <c r="E289" s="916"/>
      <c r="F289" s="916"/>
      <c r="G289" s="916"/>
      <c r="H289" s="916"/>
      <c r="I289" s="916"/>
      <c r="J289" s="916"/>
      <c r="K289" s="916"/>
      <c r="L289" s="916"/>
      <c r="M289" s="916"/>
      <c r="N289" s="916"/>
      <c r="O289" s="207"/>
      <c r="P289" s="685"/>
      <c r="Q289" s="697"/>
      <c r="R289" s="693"/>
      <c r="S289" s="680"/>
      <c r="T289" s="680"/>
      <c r="U289" s="680"/>
      <c r="V289" s="680"/>
      <c r="W289" s="680"/>
      <c r="X289" s="680"/>
      <c r="Y289" s="680"/>
      <c r="Z289" s="680"/>
      <c r="AA289" s="680"/>
    </row>
    <row r="290" spans="1:27" x14ac:dyDescent="0.2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85"/>
      <c r="Q290" s="697"/>
      <c r="R290" s="693"/>
      <c r="S290" s="680"/>
      <c r="T290" s="680"/>
      <c r="U290" s="680"/>
      <c r="V290" s="680"/>
      <c r="W290" s="680"/>
      <c r="X290" s="680"/>
      <c r="Y290" s="680"/>
      <c r="Z290" s="680"/>
      <c r="AA290" s="680"/>
    </row>
    <row r="291" spans="1:27" x14ac:dyDescent="0.2">
      <c r="A291" s="207"/>
      <c r="B291" s="207"/>
      <c r="C291" s="208" t="s">
        <v>6</v>
      </c>
      <c r="D291" s="207"/>
      <c r="E291" s="207"/>
      <c r="F291" s="947" t="str">
        <f>D5</f>
        <v/>
      </c>
      <c r="G291" s="947"/>
      <c r="H291" s="947"/>
      <c r="I291" s="947"/>
      <c r="J291" s="947"/>
      <c r="K291" s="947"/>
      <c r="L291" s="207"/>
      <c r="M291" s="207"/>
      <c r="N291" s="207"/>
      <c r="O291" s="207"/>
      <c r="P291" s="685"/>
      <c r="Q291" s="697"/>
      <c r="R291" s="693"/>
      <c r="S291" s="680"/>
      <c r="T291" s="680"/>
      <c r="U291" s="680"/>
      <c r="V291" s="680"/>
      <c r="W291" s="680"/>
      <c r="X291" s="680"/>
      <c r="Y291" s="680"/>
      <c r="Z291" s="680"/>
      <c r="AA291" s="680"/>
    </row>
    <row r="292" spans="1:27" x14ac:dyDescent="0.2">
      <c r="A292" s="207"/>
      <c r="B292" s="207"/>
      <c r="C292" s="208" t="s">
        <v>8</v>
      </c>
      <c r="D292" s="207"/>
      <c r="E292" s="207"/>
      <c r="F292" s="925" t="str">
        <f>D6</f>
        <v/>
      </c>
      <c r="G292" s="925"/>
      <c r="H292" s="925"/>
      <c r="I292" s="925"/>
      <c r="J292" s="925"/>
      <c r="K292" s="925"/>
      <c r="L292" s="207"/>
      <c r="M292" s="207"/>
      <c r="N292" s="207"/>
      <c r="O292" s="207"/>
      <c r="P292" s="685"/>
      <c r="Q292" s="697"/>
      <c r="R292" s="693"/>
      <c r="S292" s="680"/>
      <c r="T292" s="680"/>
      <c r="U292" s="680"/>
      <c r="V292" s="680"/>
      <c r="W292" s="680"/>
      <c r="X292" s="680"/>
      <c r="Y292" s="680"/>
      <c r="Z292" s="680"/>
      <c r="AA292" s="680"/>
    </row>
    <row r="293" spans="1:27" x14ac:dyDescent="0.2">
      <c r="A293" s="207"/>
      <c r="B293" s="207"/>
      <c r="C293" s="208" t="s">
        <v>122</v>
      </c>
      <c r="D293" s="207"/>
      <c r="E293" s="207"/>
      <c r="F293" s="925" t="str">
        <f>D7</f>
        <v/>
      </c>
      <c r="G293" s="925"/>
      <c r="H293" s="925"/>
      <c r="I293" s="925"/>
      <c r="J293" s="925"/>
      <c r="K293" s="925"/>
      <c r="L293" s="207"/>
      <c r="M293" s="207"/>
      <c r="N293" s="207"/>
      <c r="O293" s="207"/>
      <c r="P293" s="685"/>
      <c r="Q293" s="697"/>
      <c r="R293" s="693"/>
      <c r="S293" s="680"/>
      <c r="T293" s="680"/>
      <c r="U293" s="680"/>
      <c r="V293" s="680"/>
      <c r="W293" s="680"/>
      <c r="X293" s="680"/>
      <c r="Y293" s="680"/>
      <c r="Z293" s="680"/>
      <c r="AA293" s="680"/>
    </row>
    <row r="294" spans="1:27" x14ac:dyDescent="0.2">
      <c r="A294" s="207"/>
      <c r="B294" s="207"/>
      <c r="C294" s="208" t="s">
        <v>10</v>
      </c>
      <c r="D294" s="207"/>
      <c r="E294" s="207"/>
      <c r="F294" s="925" t="str">
        <f>D8</f>
        <v/>
      </c>
      <c r="G294" s="925"/>
      <c r="H294" s="925"/>
      <c r="I294" s="925"/>
      <c r="J294" s="925"/>
      <c r="K294" s="925"/>
      <c r="L294" s="207"/>
      <c r="M294" s="207"/>
      <c r="N294" s="207"/>
      <c r="O294" s="207"/>
      <c r="P294" s="685"/>
      <c r="Q294" s="685"/>
      <c r="R294" s="693"/>
      <c r="S294" s="680"/>
      <c r="T294" s="680"/>
      <c r="U294" s="680"/>
      <c r="V294" s="680"/>
      <c r="W294" s="680"/>
      <c r="X294" s="680"/>
      <c r="Y294" s="680"/>
      <c r="Z294" s="680"/>
      <c r="AA294" s="680"/>
    </row>
    <row r="295" spans="1:27" x14ac:dyDescent="0.2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85"/>
      <c r="Q295" s="685"/>
      <c r="R295" s="693"/>
      <c r="S295" s="680"/>
      <c r="T295" s="680"/>
      <c r="U295" s="680"/>
      <c r="V295" s="680"/>
      <c r="W295" s="680"/>
      <c r="X295" s="680"/>
      <c r="Y295" s="680"/>
      <c r="Z295" s="680"/>
      <c r="AA295" s="680"/>
    </row>
    <row r="296" spans="1:27" x14ac:dyDescent="0.2">
      <c r="A296" s="100"/>
      <c r="B296" s="256" t="s">
        <v>208</v>
      </c>
      <c r="C296" s="850" t="s">
        <v>149</v>
      </c>
      <c r="D296" s="852"/>
      <c r="E296" s="852"/>
      <c r="F296" s="912"/>
      <c r="G296" s="101" t="s">
        <v>109</v>
      </c>
      <c r="H296" s="923"/>
      <c r="I296" s="924"/>
      <c r="J296" s="256" t="s">
        <v>208</v>
      </c>
      <c r="K296" s="102" t="s">
        <v>150</v>
      </c>
      <c r="L296" s="103"/>
      <c r="M296" s="103"/>
      <c r="N296" s="104"/>
      <c r="O296" s="84" t="s">
        <v>109</v>
      </c>
      <c r="P296" s="686" t="s">
        <v>151</v>
      </c>
      <c r="Q296" s="685"/>
      <c r="R296" s="693"/>
      <c r="S296" s="680"/>
      <c r="T296" s="680"/>
      <c r="U296" s="680"/>
      <c r="V296" s="680"/>
      <c r="W296" s="680"/>
      <c r="X296" s="680"/>
      <c r="Y296" s="680"/>
      <c r="Z296" s="680"/>
      <c r="AA296" s="680"/>
    </row>
    <row r="297" spans="1:27" x14ac:dyDescent="0.2">
      <c r="A297" s="105"/>
      <c r="B297" s="108" t="s">
        <v>210</v>
      </c>
      <c r="C297" s="106" t="s">
        <v>22</v>
      </c>
      <c r="D297" s="80"/>
      <c r="E297" s="80" t="s">
        <v>231</v>
      </c>
      <c r="F297" s="107"/>
      <c r="G297" s="80" t="s">
        <v>110</v>
      </c>
      <c r="H297" s="917"/>
      <c r="I297" s="918"/>
      <c r="J297" s="108" t="s">
        <v>210</v>
      </c>
      <c r="K297" s="108" t="str">
        <f>C297</f>
        <v>Salaries</v>
      </c>
      <c r="L297" s="80"/>
      <c r="M297" s="80" t="s">
        <v>225</v>
      </c>
      <c r="N297" s="107"/>
      <c r="O297" s="80" t="s">
        <v>110</v>
      </c>
      <c r="P297" s="687" t="str">
        <f>$P$80</f>
        <v>Year or</v>
      </c>
      <c r="Q297" s="685"/>
      <c r="R297" s="693"/>
      <c r="S297" s="680"/>
      <c r="T297" s="680"/>
      <c r="U297" s="680"/>
      <c r="V297" s="680"/>
      <c r="W297" s="680"/>
      <c r="X297" s="680"/>
      <c r="Y297" s="680"/>
      <c r="Z297" s="680"/>
      <c r="AA297" s="680"/>
    </row>
    <row r="298" spans="1:27" x14ac:dyDescent="0.2">
      <c r="A298" s="109" t="s">
        <v>32</v>
      </c>
      <c r="B298" s="109" t="s">
        <v>221</v>
      </c>
      <c r="C298" s="110" t="s">
        <v>34</v>
      </c>
      <c r="D298" s="111" t="s">
        <v>30</v>
      </c>
      <c r="E298" s="111" t="s">
        <v>226</v>
      </c>
      <c r="F298" s="112" t="s">
        <v>46</v>
      </c>
      <c r="G298" s="113" t="s">
        <v>33</v>
      </c>
      <c r="H298" s="917" t="s">
        <v>32</v>
      </c>
      <c r="I298" s="918"/>
      <c r="J298" s="109" t="s">
        <v>221</v>
      </c>
      <c r="K298" s="129" t="str">
        <f>C298</f>
        <v>Requested</v>
      </c>
      <c r="L298" s="111" t="str">
        <f>D298</f>
        <v>Benefits</v>
      </c>
      <c r="M298" s="111" t="s">
        <v>226</v>
      </c>
      <c r="N298" s="112" t="str">
        <f>F298</f>
        <v>Totals</v>
      </c>
      <c r="O298" s="113" t="s">
        <v>33</v>
      </c>
      <c r="P298" s="688" t="str">
        <f>$P$81</f>
        <v>Portion of</v>
      </c>
      <c r="Q298" s="685"/>
      <c r="R298" s="693"/>
      <c r="S298" s="680"/>
      <c r="T298" s="680"/>
      <c r="U298" s="680"/>
      <c r="V298" s="680"/>
      <c r="W298" s="685"/>
      <c r="X298" s="685"/>
      <c r="Y298" s="680"/>
      <c r="Z298" s="680"/>
      <c r="AA298" s="680"/>
    </row>
    <row r="299" spans="1:27" x14ac:dyDescent="0.2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812" t="str">
        <f>IFERROR(IF(C299*0.35=0,"",C299*0.35),"")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913" t="str">
        <f t="shared" ref="H299:H338" si="56">IF(A23=0,"",A23)</f>
        <v/>
      </c>
      <c r="I299" s="914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812" t="str">
        <f>IFERROR(IF(K299*0.35=0,"",K299*0.35),"")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88" t="str">
        <f>$P$82</f>
        <v>a Year</v>
      </c>
      <c r="Q299" s="685"/>
      <c r="R299" s="680"/>
      <c r="S299" s="680"/>
      <c r="T299" s="680"/>
      <c r="U299" s="680"/>
      <c r="V299" s="680"/>
      <c r="W299" s="685"/>
      <c r="X299" s="685"/>
      <c r="Y299" s="680"/>
      <c r="Z299" s="680"/>
      <c r="AA299" s="680"/>
    </row>
    <row r="300" spans="1:27" x14ac:dyDescent="0.2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812" t="str">
        <f t="shared" ref="D300:D338" si="61">IFERROR(IF(C300*0.35=0,"",C300*0.35),"")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913" t="str">
        <f t="shared" si="56"/>
        <v/>
      </c>
      <c r="I300" s="914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812" t="str">
        <f t="shared" ref="L300:L338" si="62">IFERROR(IF(K300*0.35=0,"",K300*0.35),"")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89">
        <f>IF(AND(totalyrs&gt;7,totalyrs&lt;8),totalyrs-7,1)</f>
        <v>1</v>
      </c>
      <c r="Q300" s="698" t="s">
        <v>152</v>
      </c>
      <c r="R300" s="680"/>
      <c r="S300" s="680"/>
      <c r="T300" s="680"/>
      <c r="U300" s="680"/>
      <c r="V300" s="680"/>
      <c r="W300" s="685"/>
      <c r="X300" s="685"/>
      <c r="Y300" s="680"/>
      <c r="Z300" s="680"/>
      <c r="AA300" s="680"/>
    </row>
    <row r="301" spans="1:27" x14ac:dyDescent="0.2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812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913" t="str">
        <f t="shared" si="56"/>
        <v/>
      </c>
      <c r="I301" s="914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812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89">
        <f>IF(AND(totalyrs&gt;8,totalyrs&lt;9),totalyrs-8,1)</f>
        <v>1</v>
      </c>
      <c r="Q301" s="690" t="s">
        <v>153</v>
      </c>
      <c r="R301" s="680"/>
      <c r="S301" s="680"/>
      <c r="T301" s="680"/>
      <c r="U301" s="680"/>
      <c r="V301" s="680"/>
      <c r="W301" s="685"/>
      <c r="X301" s="685"/>
      <c r="Y301" s="680"/>
      <c r="Z301" s="680"/>
      <c r="AA301" s="680"/>
    </row>
    <row r="302" spans="1:27" x14ac:dyDescent="0.2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812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913" t="str">
        <f t="shared" si="56"/>
        <v/>
      </c>
      <c r="I302" s="914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812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88"/>
      <c r="Q302" s="685"/>
      <c r="R302" s="680"/>
      <c r="S302" s="680"/>
      <c r="T302" s="680"/>
      <c r="U302" s="680"/>
      <c r="V302" s="680"/>
      <c r="W302" s="685"/>
      <c r="X302" s="685"/>
      <c r="Y302" s="680"/>
      <c r="Z302" s="680"/>
      <c r="AA302" s="680"/>
    </row>
    <row r="303" spans="1:27" x14ac:dyDescent="0.2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812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913" t="str">
        <f t="shared" si="56"/>
        <v/>
      </c>
      <c r="I303" s="914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812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88"/>
      <c r="Q303" s="685"/>
      <c r="R303" s="680"/>
      <c r="S303" s="680"/>
      <c r="T303" s="680"/>
      <c r="U303" s="680"/>
      <c r="V303" s="680"/>
      <c r="W303" s="685"/>
      <c r="X303" s="685"/>
      <c r="Y303" s="680"/>
      <c r="Z303" s="680"/>
      <c r="AA303" s="680"/>
    </row>
    <row r="304" spans="1:27" x14ac:dyDescent="0.2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812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913" t="str">
        <f t="shared" si="56"/>
        <v/>
      </c>
      <c r="I304" s="914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812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88"/>
      <c r="Q304" s="685"/>
      <c r="R304" s="680"/>
      <c r="S304" s="680"/>
      <c r="T304" s="680"/>
      <c r="U304" s="680"/>
      <c r="V304" s="680"/>
      <c r="W304" s="685"/>
      <c r="X304" s="685"/>
      <c r="Y304" s="680"/>
      <c r="Z304" s="680"/>
      <c r="AA304" s="680"/>
    </row>
    <row r="305" spans="1:27" x14ac:dyDescent="0.2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812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913" t="str">
        <f t="shared" si="56"/>
        <v/>
      </c>
      <c r="I305" s="914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812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88"/>
      <c r="Q305" s="685"/>
      <c r="R305" s="680"/>
      <c r="S305" s="680"/>
      <c r="T305" s="680"/>
      <c r="U305" s="680"/>
      <c r="V305" s="680"/>
      <c r="W305" s="685"/>
      <c r="X305" s="685"/>
      <c r="Y305" s="680"/>
      <c r="Z305" s="680"/>
      <c r="AA305" s="680"/>
    </row>
    <row r="306" spans="1:27" x14ac:dyDescent="0.2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812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913" t="str">
        <f t="shared" si="56"/>
        <v/>
      </c>
      <c r="I306" s="914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812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88"/>
      <c r="Q306" s="685"/>
      <c r="R306" s="680"/>
      <c r="S306" s="680"/>
      <c r="T306" s="680"/>
      <c r="U306" s="680"/>
      <c r="V306" s="680"/>
      <c r="W306" s="685"/>
      <c r="X306" s="685"/>
      <c r="Y306" s="680"/>
      <c r="Z306" s="680"/>
      <c r="AA306" s="680"/>
    </row>
    <row r="307" spans="1:27" x14ac:dyDescent="0.2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812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913" t="str">
        <f t="shared" si="56"/>
        <v/>
      </c>
      <c r="I307" s="914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812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88"/>
      <c r="Q307" s="685"/>
      <c r="R307" s="680"/>
      <c r="S307" s="680"/>
      <c r="T307" s="680"/>
      <c r="U307" s="680"/>
      <c r="V307" s="680"/>
      <c r="W307" s="685"/>
      <c r="X307" s="685"/>
      <c r="Y307" s="680"/>
      <c r="Z307" s="680"/>
      <c r="AA307" s="680"/>
    </row>
    <row r="308" spans="1:27" x14ac:dyDescent="0.2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812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913" t="str">
        <f t="shared" si="56"/>
        <v/>
      </c>
      <c r="I308" s="914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812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88"/>
      <c r="Q308" s="685"/>
      <c r="R308" s="680"/>
      <c r="S308" s="680"/>
      <c r="T308" s="680"/>
      <c r="U308" s="680"/>
      <c r="V308" s="680"/>
      <c r="W308" s="685"/>
      <c r="X308" s="685"/>
      <c r="Y308" s="680"/>
      <c r="Z308" s="680"/>
      <c r="AA308" s="680"/>
    </row>
    <row r="309" spans="1:27" x14ac:dyDescent="0.2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812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913" t="str">
        <f t="shared" si="56"/>
        <v/>
      </c>
      <c r="I309" s="914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812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88"/>
      <c r="Q309" s="685"/>
      <c r="R309" s="680"/>
      <c r="S309" s="680"/>
      <c r="T309" s="680"/>
      <c r="U309" s="680"/>
      <c r="V309" s="680"/>
      <c r="W309" s="685"/>
      <c r="X309" s="685"/>
      <c r="Y309" s="680"/>
      <c r="Z309" s="680"/>
      <c r="AA309" s="680"/>
    </row>
    <row r="310" spans="1:27" x14ac:dyDescent="0.2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812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913" t="str">
        <f t="shared" si="56"/>
        <v/>
      </c>
      <c r="I310" s="914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812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93"/>
      <c r="Q310" s="693"/>
      <c r="R310" s="680"/>
      <c r="S310" s="680"/>
      <c r="T310" s="680"/>
      <c r="U310" s="680"/>
      <c r="V310" s="680"/>
      <c r="W310" s="685"/>
      <c r="X310" s="685"/>
      <c r="Y310" s="680"/>
      <c r="Z310" s="680"/>
      <c r="AA310" s="680"/>
    </row>
    <row r="311" spans="1:27" x14ac:dyDescent="0.2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812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913" t="str">
        <f t="shared" si="56"/>
        <v/>
      </c>
      <c r="I311" s="914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812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93"/>
      <c r="Q311" s="693"/>
      <c r="R311" s="680"/>
      <c r="S311" s="680"/>
      <c r="T311" s="680"/>
      <c r="U311" s="680"/>
      <c r="V311" s="680"/>
      <c r="W311" s="685"/>
      <c r="X311" s="685"/>
      <c r="Y311" s="680"/>
      <c r="Z311" s="680"/>
      <c r="AA311" s="680"/>
    </row>
    <row r="312" spans="1:27" x14ac:dyDescent="0.2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812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913" t="str">
        <f t="shared" si="56"/>
        <v/>
      </c>
      <c r="I312" s="914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812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93"/>
      <c r="Q312" s="693"/>
      <c r="R312" s="680"/>
      <c r="S312" s="680"/>
      <c r="T312" s="680"/>
      <c r="U312" s="680"/>
      <c r="V312" s="680"/>
      <c r="W312" s="685"/>
      <c r="X312" s="685"/>
      <c r="Y312" s="680"/>
      <c r="Z312" s="680"/>
      <c r="AA312" s="680"/>
    </row>
    <row r="313" spans="1:27" x14ac:dyDescent="0.2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812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913" t="str">
        <f t="shared" si="56"/>
        <v/>
      </c>
      <c r="I313" s="914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812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85"/>
      <c r="Q313" s="685"/>
      <c r="R313" s="680"/>
      <c r="S313" s="680"/>
      <c r="T313" s="680"/>
      <c r="U313" s="680"/>
      <c r="V313" s="680"/>
      <c r="W313" s="685"/>
      <c r="X313" s="685"/>
      <c r="Y313" s="680"/>
      <c r="Z313" s="680"/>
      <c r="AA313" s="680"/>
    </row>
    <row r="314" spans="1:27" x14ac:dyDescent="0.2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812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913" t="str">
        <f t="shared" si="56"/>
        <v/>
      </c>
      <c r="I314" s="914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812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85"/>
      <c r="Q314" s="685"/>
      <c r="R314" s="680"/>
      <c r="S314" s="680"/>
      <c r="T314" s="680"/>
      <c r="U314" s="680"/>
      <c r="V314" s="680"/>
      <c r="W314" s="685"/>
      <c r="X314" s="685"/>
      <c r="Y314" s="680"/>
      <c r="Z314" s="680"/>
      <c r="AA314" s="680"/>
    </row>
    <row r="315" spans="1:27" x14ac:dyDescent="0.2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812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913" t="str">
        <f t="shared" si="56"/>
        <v/>
      </c>
      <c r="I315" s="914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812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85"/>
      <c r="Q315" s="685"/>
      <c r="R315" s="680"/>
      <c r="S315" s="680"/>
      <c r="T315" s="680"/>
      <c r="U315" s="680"/>
      <c r="V315" s="680"/>
      <c r="W315" s="685"/>
      <c r="X315" s="685"/>
      <c r="Y315" s="680"/>
      <c r="Z315" s="680"/>
      <c r="AA315" s="680"/>
    </row>
    <row r="316" spans="1:27" x14ac:dyDescent="0.2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812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913" t="str">
        <f t="shared" si="56"/>
        <v/>
      </c>
      <c r="I316" s="914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812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85"/>
      <c r="Q316" s="685"/>
      <c r="R316" s="680"/>
      <c r="S316" s="680"/>
      <c r="T316" s="680"/>
      <c r="U316" s="680"/>
      <c r="V316" s="680"/>
      <c r="W316" s="685"/>
      <c r="X316" s="685"/>
      <c r="Y316" s="680"/>
      <c r="Z316" s="680"/>
      <c r="AA316" s="680"/>
    </row>
    <row r="317" spans="1:27" x14ac:dyDescent="0.2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812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913" t="str">
        <f t="shared" si="56"/>
        <v/>
      </c>
      <c r="I317" s="914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812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85"/>
      <c r="Q317" s="685"/>
      <c r="R317" s="680"/>
      <c r="S317" s="680"/>
      <c r="T317" s="680"/>
      <c r="U317" s="680"/>
      <c r="V317" s="680"/>
      <c r="W317" s="685"/>
      <c r="X317" s="685"/>
      <c r="Y317" s="680"/>
      <c r="Z317" s="680"/>
      <c r="AA317" s="680"/>
    </row>
    <row r="318" spans="1:27" x14ac:dyDescent="0.2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812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913" t="str">
        <f t="shared" si="56"/>
        <v/>
      </c>
      <c r="I318" s="914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812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85"/>
      <c r="Q318" s="685"/>
      <c r="R318" s="680"/>
      <c r="S318" s="680"/>
      <c r="T318" s="680"/>
      <c r="U318" s="680"/>
      <c r="V318" s="680"/>
      <c r="W318" s="685"/>
      <c r="X318" s="685"/>
      <c r="Y318" s="680"/>
      <c r="Z318" s="680"/>
      <c r="AA318" s="680"/>
    </row>
    <row r="319" spans="1:27" x14ac:dyDescent="0.2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812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913" t="str">
        <f t="shared" si="56"/>
        <v/>
      </c>
      <c r="I319" s="914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812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85"/>
      <c r="Q319" s="685"/>
      <c r="R319" s="680"/>
      <c r="S319" s="680"/>
      <c r="T319" s="680"/>
      <c r="U319" s="680"/>
      <c r="V319" s="680"/>
      <c r="W319" s="685"/>
      <c r="X319" s="685"/>
      <c r="Y319" s="680"/>
      <c r="Z319" s="680"/>
      <c r="AA319" s="680"/>
    </row>
    <row r="320" spans="1:27" x14ac:dyDescent="0.2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812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913" t="str">
        <f t="shared" si="56"/>
        <v/>
      </c>
      <c r="I320" s="914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812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85"/>
      <c r="Q320" s="685"/>
      <c r="R320" s="680"/>
      <c r="S320" s="680"/>
      <c r="T320" s="680"/>
      <c r="U320" s="680"/>
      <c r="V320" s="680"/>
      <c r="W320" s="685"/>
      <c r="X320" s="685"/>
      <c r="Y320" s="680"/>
      <c r="Z320" s="680"/>
      <c r="AA320" s="680"/>
    </row>
    <row r="321" spans="1:27" x14ac:dyDescent="0.2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812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913" t="str">
        <f t="shared" si="56"/>
        <v/>
      </c>
      <c r="I321" s="914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812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85"/>
      <c r="Q321" s="685"/>
      <c r="R321" s="680"/>
      <c r="S321" s="680"/>
      <c r="T321" s="680"/>
      <c r="U321" s="680"/>
      <c r="V321" s="680"/>
      <c r="W321" s="685"/>
      <c r="X321" s="685"/>
      <c r="Y321" s="680"/>
      <c r="Z321" s="680"/>
      <c r="AA321" s="680"/>
    </row>
    <row r="322" spans="1:27" x14ac:dyDescent="0.2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812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913" t="str">
        <f t="shared" si="56"/>
        <v/>
      </c>
      <c r="I322" s="914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812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85"/>
      <c r="Q322" s="685"/>
      <c r="R322" s="680"/>
      <c r="S322" s="680"/>
      <c r="T322" s="680"/>
      <c r="U322" s="680"/>
      <c r="V322" s="680"/>
      <c r="W322" s="685"/>
      <c r="X322" s="685"/>
      <c r="Y322" s="680"/>
      <c r="Z322" s="680"/>
      <c r="AA322" s="680"/>
    </row>
    <row r="323" spans="1:27" x14ac:dyDescent="0.2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812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913" t="str">
        <f t="shared" si="56"/>
        <v/>
      </c>
      <c r="I323" s="914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812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85"/>
      <c r="Q323" s="685"/>
      <c r="R323" s="680"/>
      <c r="S323" s="680"/>
      <c r="T323" s="680"/>
      <c r="U323" s="680"/>
      <c r="V323" s="680"/>
      <c r="W323" s="685"/>
      <c r="X323" s="685"/>
      <c r="Y323" s="680"/>
      <c r="Z323" s="680"/>
      <c r="AA323" s="680"/>
    </row>
    <row r="324" spans="1:27" x14ac:dyDescent="0.2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812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913" t="str">
        <f t="shared" si="56"/>
        <v/>
      </c>
      <c r="I324" s="914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812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85"/>
      <c r="Q324" s="685"/>
      <c r="R324" s="680"/>
      <c r="S324" s="680"/>
      <c r="T324" s="680"/>
      <c r="U324" s="680"/>
      <c r="V324" s="680"/>
      <c r="W324" s="685"/>
      <c r="X324" s="685"/>
      <c r="Y324" s="680"/>
      <c r="Z324" s="680"/>
      <c r="AA324" s="680"/>
    </row>
    <row r="325" spans="1:27" x14ac:dyDescent="0.2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812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913" t="str">
        <f t="shared" si="56"/>
        <v/>
      </c>
      <c r="I325" s="914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812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85"/>
      <c r="Q325" s="685"/>
      <c r="R325" s="680"/>
      <c r="S325" s="680"/>
      <c r="T325" s="680"/>
      <c r="U325" s="680"/>
      <c r="V325" s="680"/>
      <c r="W325" s="685"/>
      <c r="X325" s="685"/>
      <c r="Y325" s="680"/>
      <c r="Z325" s="680"/>
      <c r="AA325" s="680"/>
    </row>
    <row r="326" spans="1:27" x14ac:dyDescent="0.2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812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913" t="str">
        <f t="shared" si="56"/>
        <v/>
      </c>
      <c r="I326" s="914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812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85"/>
      <c r="Q326" s="685"/>
      <c r="R326" s="680"/>
      <c r="S326" s="680"/>
      <c r="T326" s="680"/>
      <c r="U326" s="680"/>
      <c r="V326" s="680"/>
      <c r="W326" s="685"/>
      <c r="X326" s="685"/>
      <c r="Y326" s="680"/>
      <c r="Z326" s="680"/>
      <c r="AA326" s="680"/>
    </row>
    <row r="327" spans="1:27" x14ac:dyDescent="0.2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812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913" t="str">
        <f t="shared" si="56"/>
        <v/>
      </c>
      <c r="I327" s="914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812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85"/>
      <c r="Q327" s="685"/>
      <c r="R327" s="680"/>
      <c r="S327" s="680"/>
      <c r="T327" s="680"/>
      <c r="U327" s="680"/>
      <c r="V327" s="680"/>
      <c r="W327" s="685"/>
      <c r="X327" s="685"/>
      <c r="Y327" s="680"/>
      <c r="Z327" s="680"/>
      <c r="AA327" s="680"/>
    </row>
    <row r="328" spans="1:27" x14ac:dyDescent="0.2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812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913" t="str">
        <f t="shared" si="56"/>
        <v/>
      </c>
      <c r="I328" s="914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812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85"/>
      <c r="Q328" s="685"/>
      <c r="R328" s="680"/>
      <c r="S328" s="680"/>
      <c r="T328" s="680"/>
      <c r="U328" s="680"/>
      <c r="V328" s="680"/>
      <c r="W328" s="685"/>
      <c r="X328" s="685"/>
      <c r="Y328" s="680"/>
      <c r="Z328" s="680"/>
      <c r="AA328" s="680"/>
    </row>
    <row r="329" spans="1:27" x14ac:dyDescent="0.2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812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913" t="str">
        <f t="shared" si="56"/>
        <v/>
      </c>
      <c r="I329" s="914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812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85"/>
      <c r="Q329" s="685"/>
      <c r="R329" s="680"/>
      <c r="S329" s="680"/>
      <c r="T329" s="680"/>
      <c r="U329" s="680"/>
      <c r="V329" s="680"/>
      <c r="W329" s="685"/>
      <c r="X329" s="685"/>
      <c r="Y329" s="680"/>
      <c r="Z329" s="680"/>
      <c r="AA329" s="680"/>
    </row>
    <row r="330" spans="1:27" x14ac:dyDescent="0.2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812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913" t="str">
        <f t="shared" si="56"/>
        <v/>
      </c>
      <c r="I330" s="914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812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85"/>
      <c r="Q330" s="685"/>
      <c r="R330" s="680"/>
      <c r="S330" s="680"/>
      <c r="T330" s="680"/>
      <c r="U330" s="680"/>
      <c r="V330" s="680"/>
      <c r="W330" s="685"/>
      <c r="X330" s="685"/>
      <c r="Y330" s="680"/>
      <c r="Z330" s="680"/>
      <c r="AA330" s="680"/>
    </row>
    <row r="331" spans="1:27" x14ac:dyDescent="0.2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812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913" t="str">
        <f t="shared" si="56"/>
        <v/>
      </c>
      <c r="I331" s="914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812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85"/>
      <c r="Q331" s="685"/>
      <c r="R331" s="680"/>
      <c r="S331" s="680"/>
      <c r="T331" s="680"/>
      <c r="U331" s="680"/>
      <c r="V331" s="680"/>
      <c r="W331" s="685"/>
      <c r="X331" s="685"/>
      <c r="Y331" s="680"/>
      <c r="Z331" s="680"/>
      <c r="AA331" s="680"/>
    </row>
    <row r="332" spans="1:27" x14ac:dyDescent="0.2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812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913" t="str">
        <f t="shared" si="56"/>
        <v/>
      </c>
      <c r="I332" s="914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812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85"/>
      <c r="Q332" s="685"/>
      <c r="R332" s="680"/>
      <c r="S332" s="680"/>
      <c r="T332" s="680"/>
      <c r="U332" s="680"/>
      <c r="V332" s="680"/>
      <c r="W332" s="685"/>
      <c r="X332" s="685"/>
      <c r="Y332" s="680"/>
      <c r="Z332" s="680"/>
      <c r="AA332" s="680"/>
    </row>
    <row r="333" spans="1:27" x14ac:dyDescent="0.2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812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913" t="str">
        <f t="shared" si="56"/>
        <v/>
      </c>
      <c r="I333" s="914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812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85"/>
      <c r="Q333" s="685"/>
      <c r="R333" s="680"/>
      <c r="S333" s="680"/>
      <c r="T333" s="680"/>
      <c r="U333" s="680"/>
      <c r="V333" s="680"/>
      <c r="W333" s="685"/>
      <c r="X333" s="685"/>
      <c r="Y333" s="680"/>
      <c r="Z333" s="680"/>
      <c r="AA333" s="680"/>
    </row>
    <row r="334" spans="1:27" x14ac:dyDescent="0.2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812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913" t="str">
        <f t="shared" si="56"/>
        <v/>
      </c>
      <c r="I334" s="914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812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85"/>
      <c r="Q334" s="685"/>
      <c r="R334" s="680"/>
      <c r="S334" s="680"/>
      <c r="T334" s="680"/>
      <c r="U334" s="680"/>
      <c r="V334" s="680"/>
      <c r="W334" s="685"/>
      <c r="X334" s="685"/>
      <c r="Y334" s="680"/>
      <c r="Z334" s="680"/>
      <c r="AA334" s="680"/>
    </row>
    <row r="335" spans="1:27" x14ac:dyDescent="0.2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812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913" t="str">
        <f t="shared" si="56"/>
        <v/>
      </c>
      <c r="I335" s="914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812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85"/>
      <c r="Q335" s="685"/>
      <c r="R335" s="680"/>
      <c r="S335" s="680"/>
      <c r="T335" s="680"/>
      <c r="U335" s="680"/>
      <c r="V335" s="680"/>
      <c r="W335" s="685"/>
      <c r="X335" s="685"/>
      <c r="Y335" s="680"/>
      <c r="Z335" s="680"/>
      <c r="AA335" s="680"/>
    </row>
    <row r="336" spans="1:27" x14ac:dyDescent="0.2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812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913" t="str">
        <f t="shared" si="56"/>
        <v/>
      </c>
      <c r="I336" s="914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812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85"/>
      <c r="Q336" s="685"/>
      <c r="R336" s="680"/>
      <c r="S336" s="680"/>
      <c r="T336" s="680"/>
      <c r="U336" s="680"/>
      <c r="V336" s="680"/>
      <c r="W336" s="685"/>
      <c r="X336" s="685"/>
      <c r="Y336" s="680"/>
      <c r="Z336" s="680"/>
      <c r="AA336" s="680"/>
    </row>
    <row r="337" spans="1:27" x14ac:dyDescent="0.2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812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913" t="str">
        <f t="shared" si="56"/>
        <v/>
      </c>
      <c r="I337" s="914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812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85"/>
      <c r="Q337" s="685"/>
      <c r="R337" s="680"/>
      <c r="S337" s="680"/>
      <c r="T337" s="680"/>
      <c r="U337" s="680"/>
      <c r="V337" s="680"/>
      <c r="W337" s="685"/>
      <c r="X337" s="685"/>
      <c r="Y337" s="680"/>
      <c r="Z337" s="680"/>
      <c r="AA337" s="680"/>
    </row>
    <row r="338" spans="1:27" x14ac:dyDescent="0.2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812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913" t="str">
        <f t="shared" si="56"/>
        <v/>
      </c>
      <c r="I338" s="914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812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85"/>
      <c r="Q338" s="685"/>
      <c r="R338" s="680"/>
      <c r="S338" s="680"/>
      <c r="T338" s="680"/>
      <c r="U338" s="680"/>
      <c r="V338" s="680"/>
      <c r="W338" s="680"/>
      <c r="X338" s="680"/>
      <c r="Y338" s="680"/>
      <c r="Z338" s="680"/>
      <c r="AA338" s="680"/>
    </row>
    <row r="339" spans="1:27" x14ac:dyDescent="0.2">
      <c r="A339" s="215" t="s">
        <v>50</v>
      </c>
      <c r="B339" s="282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3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85"/>
      <c r="Q339" s="685"/>
      <c r="R339" s="693"/>
      <c r="S339" s="680"/>
      <c r="T339" s="680"/>
      <c r="U339" s="680"/>
      <c r="V339" s="680"/>
      <c r="W339" s="680"/>
      <c r="X339" s="680"/>
      <c r="Y339" s="680"/>
      <c r="Z339" s="680"/>
      <c r="AA339" s="680"/>
    </row>
    <row r="340" spans="1:27" x14ac:dyDescent="0.2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93"/>
      <c r="Q340" s="693"/>
      <c r="R340" s="693"/>
      <c r="S340" s="680"/>
      <c r="T340" s="680"/>
      <c r="U340" s="680"/>
      <c r="V340" s="680"/>
      <c r="W340" s="680"/>
      <c r="X340" s="680"/>
      <c r="Y340" s="680"/>
      <c r="Z340" s="680"/>
      <c r="AA340" s="680"/>
    </row>
    <row r="341" spans="1:27" x14ac:dyDescent="0.2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93"/>
      <c r="Q341" s="693"/>
      <c r="R341" s="693"/>
      <c r="S341" s="680"/>
      <c r="T341" s="680"/>
      <c r="U341" s="680"/>
      <c r="V341" s="680"/>
      <c r="W341" s="680"/>
      <c r="X341" s="680"/>
      <c r="Y341" s="680"/>
      <c r="Z341" s="680"/>
      <c r="AA341" s="680"/>
    </row>
    <row r="342" spans="1:27" x14ac:dyDescent="0.2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93"/>
      <c r="Q342" s="693"/>
      <c r="R342" s="693"/>
      <c r="S342" s="680"/>
      <c r="T342" s="680"/>
      <c r="U342" s="680"/>
      <c r="V342" s="680"/>
      <c r="W342" s="680"/>
      <c r="X342" s="680"/>
      <c r="Y342" s="680"/>
      <c r="Z342" s="680"/>
      <c r="AA342" s="680"/>
    </row>
    <row r="343" spans="1:27" x14ac:dyDescent="0.2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93"/>
      <c r="Q343" s="693"/>
      <c r="R343" s="693"/>
      <c r="S343" s="680"/>
      <c r="T343" s="680"/>
      <c r="U343" s="680"/>
      <c r="V343" s="680"/>
      <c r="W343" s="680"/>
      <c r="X343" s="680"/>
      <c r="Y343" s="680"/>
      <c r="Z343" s="680"/>
      <c r="AA343" s="680"/>
    </row>
    <row r="344" spans="1:27" x14ac:dyDescent="0.2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93"/>
      <c r="Q344" s="693"/>
      <c r="R344" s="693"/>
      <c r="S344" s="680"/>
      <c r="T344" s="680"/>
      <c r="U344" s="680"/>
      <c r="V344" s="680"/>
      <c r="W344" s="680"/>
      <c r="X344" s="680"/>
      <c r="Y344" s="680"/>
      <c r="Z344" s="680"/>
      <c r="AA344" s="680"/>
    </row>
    <row r="345" spans="1:27" x14ac:dyDescent="0.2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93"/>
      <c r="Q345" s="693"/>
      <c r="R345" s="693"/>
      <c r="S345" s="680"/>
      <c r="T345" s="680"/>
      <c r="U345" s="680"/>
      <c r="V345" s="680"/>
      <c r="W345" s="680"/>
      <c r="X345" s="680"/>
      <c r="Y345" s="680"/>
      <c r="Z345" s="680"/>
      <c r="AA345" s="680"/>
    </row>
    <row r="346" spans="1:27" x14ac:dyDescent="0.2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93"/>
      <c r="Q346" s="693"/>
      <c r="R346" s="693"/>
      <c r="S346" s="680"/>
      <c r="T346" s="680"/>
      <c r="U346" s="680"/>
      <c r="V346" s="680"/>
      <c r="W346" s="680"/>
      <c r="X346" s="680"/>
      <c r="Y346" s="680"/>
      <c r="Z346" s="680"/>
      <c r="AA346" s="680"/>
    </row>
    <row r="347" spans="1:27" x14ac:dyDescent="0.2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93"/>
      <c r="Q347" s="693"/>
      <c r="R347" s="693"/>
      <c r="S347" s="680"/>
      <c r="T347" s="680"/>
      <c r="U347" s="680"/>
      <c r="V347" s="680"/>
      <c r="W347" s="680"/>
      <c r="X347" s="680"/>
      <c r="Y347" s="680"/>
      <c r="Z347" s="680"/>
      <c r="AA347" s="680"/>
    </row>
    <row r="348" spans="1:27" x14ac:dyDescent="0.2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93"/>
      <c r="Q348" s="693"/>
      <c r="R348" s="693"/>
      <c r="S348" s="680"/>
      <c r="T348" s="680"/>
      <c r="U348" s="680"/>
      <c r="V348" s="680"/>
      <c r="W348" s="680"/>
      <c r="X348" s="680"/>
      <c r="Y348" s="680"/>
      <c r="Z348" s="680"/>
      <c r="AA348" s="680"/>
    </row>
    <row r="349" spans="1:27" x14ac:dyDescent="0.2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93"/>
      <c r="Q349" s="693"/>
      <c r="R349" s="693"/>
      <c r="S349" s="680"/>
      <c r="T349" s="680"/>
      <c r="U349" s="680"/>
      <c r="V349" s="680"/>
      <c r="W349" s="680"/>
      <c r="X349" s="680"/>
      <c r="Y349" s="680"/>
      <c r="Z349" s="680"/>
      <c r="AA349" s="680"/>
    </row>
    <row r="350" spans="1:27" x14ac:dyDescent="0.2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93"/>
      <c r="Q350" s="693"/>
      <c r="R350" s="693"/>
      <c r="S350" s="680"/>
      <c r="T350" s="680"/>
      <c r="U350" s="680"/>
      <c r="V350" s="680"/>
      <c r="W350" s="680"/>
      <c r="X350" s="680"/>
      <c r="Y350" s="680"/>
      <c r="Z350" s="680"/>
      <c r="AA350" s="680"/>
    </row>
    <row r="351" spans="1:27" x14ac:dyDescent="0.2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93"/>
      <c r="Q351" s="693"/>
      <c r="R351" s="693"/>
      <c r="S351" s="680"/>
      <c r="T351" s="680"/>
      <c r="U351" s="680"/>
      <c r="V351" s="680"/>
      <c r="W351" s="680"/>
      <c r="X351" s="680"/>
      <c r="Y351" s="680"/>
      <c r="Z351" s="680"/>
      <c r="AA351" s="680"/>
    </row>
    <row r="352" spans="1:27" x14ac:dyDescent="0.2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93"/>
      <c r="Q352" s="693"/>
      <c r="R352" s="693"/>
      <c r="S352" s="680"/>
      <c r="T352" s="680"/>
      <c r="U352" s="680"/>
      <c r="V352" s="680"/>
      <c r="W352" s="680"/>
      <c r="X352" s="680"/>
      <c r="Y352" s="680"/>
      <c r="Z352" s="680"/>
      <c r="AA352" s="680"/>
    </row>
    <row r="353" spans="1:27" x14ac:dyDescent="0.2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93"/>
      <c r="Q353" s="693"/>
      <c r="R353" s="693"/>
      <c r="S353" s="680"/>
      <c r="T353" s="680"/>
      <c r="U353" s="680"/>
      <c r="V353" s="680"/>
      <c r="W353" s="680"/>
      <c r="X353" s="680"/>
      <c r="Y353" s="680"/>
      <c r="Z353" s="680"/>
      <c r="AA353" s="680"/>
    </row>
    <row r="354" spans="1:27" x14ac:dyDescent="0.2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93"/>
      <c r="Q354" s="693"/>
      <c r="R354" s="693"/>
      <c r="S354" s="680"/>
      <c r="T354" s="680"/>
      <c r="U354" s="680"/>
      <c r="V354" s="680"/>
      <c r="W354" s="680"/>
      <c r="X354" s="680"/>
      <c r="Y354" s="680"/>
      <c r="Z354" s="680"/>
      <c r="AA354" s="680"/>
    </row>
    <row r="355" spans="1:27" x14ac:dyDescent="0.2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93"/>
      <c r="Q355" s="693"/>
      <c r="R355" s="693"/>
      <c r="S355" s="680"/>
      <c r="T355" s="680"/>
      <c r="U355" s="680"/>
      <c r="V355" s="680"/>
      <c r="W355" s="680"/>
      <c r="X355" s="680"/>
      <c r="Y355" s="680"/>
      <c r="Z355" s="680"/>
      <c r="AA355" s="680"/>
    </row>
    <row r="356" spans="1:27" x14ac:dyDescent="0.2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93"/>
      <c r="Q356" s="693"/>
      <c r="R356" s="693"/>
      <c r="S356" s="680"/>
      <c r="T356" s="680"/>
      <c r="U356" s="680"/>
      <c r="V356" s="680"/>
      <c r="W356" s="680"/>
      <c r="X356" s="680"/>
      <c r="Y356" s="680"/>
      <c r="Z356" s="680"/>
      <c r="AA356" s="680"/>
    </row>
    <row r="357" spans="1:27" x14ac:dyDescent="0.2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93"/>
      <c r="Q357" s="693"/>
      <c r="R357" s="693"/>
      <c r="S357" s="680"/>
      <c r="T357" s="680"/>
      <c r="U357" s="680"/>
      <c r="V357" s="680"/>
      <c r="W357" s="680"/>
      <c r="X357" s="680"/>
      <c r="Y357" s="680"/>
      <c r="Z357" s="680"/>
      <c r="AA357" s="680"/>
    </row>
    <row r="358" spans="1:27" x14ac:dyDescent="0.2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93"/>
      <c r="Q358" s="693"/>
      <c r="R358" s="693"/>
      <c r="S358" s="680"/>
      <c r="T358" s="680"/>
      <c r="U358" s="680"/>
      <c r="V358" s="680"/>
      <c r="W358" s="680"/>
      <c r="X358" s="680"/>
      <c r="Y358" s="680"/>
      <c r="Z358" s="680"/>
      <c r="AA358" s="680"/>
    </row>
    <row r="359" spans="1:27" x14ac:dyDescent="0.2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93"/>
      <c r="Q359" s="693"/>
      <c r="R359" s="693"/>
      <c r="S359" s="680"/>
      <c r="T359" s="680"/>
      <c r="U359" s="680"/>
      <c r="V359" s="680"/>
      <c r="W359" s="680"/>
      <c r="X359" s="680"/>
      <c r="Y359" s="680"/>
      <c r="Z359" s="680"/>
      <c r="AA359" s="680"/>
    </row>
    <row r="360" spans="1:27" x14ac:dyDescent="0.2">
      <c r="A360" s="915" t="s">
        <v>205</v>
      </c>
      <c r="B360" s="915"/>
      <c r="C360" s="916"/>
      <c r="D360" s="916"/>
      <c r="E360" s="916"/>
      <c r="F360" s="916"/>
      <c r="G360" s="916"/>
      <c r="H360" s="916"/>
      <c r="I360" s="916"/>
      <c r="J360" s="916"/>
      <c r="K360" s="916"/>
      <c r="L360" s="916"/>
      <c r="M360" s="916"/>
      <c r="N360" s="916"/>
      <c r="O360" s="207"/>
      <c r="P360" s="685"/>
      <c r="Q360" s="697"/>
      <c r="R360" s="693"/>
      <c r="S360" s="680"/>
      <c r="T360" s="680"/>
      <c r="U360" s="680"/>
      <c r="V360" s="680"/>
      <c r="W360" s="680"/>
      <c r="X360" s="680"/>
      <c r="Y360" s="680"/>
      <c r="Z360" s="680"/>
      <c r="AA360" s="680"/>
    </row>
    <row r="361" spans="1:27" x14ac:dyDescent="0.2">
      <c r="A361" s="915" t="s">
        <v>154</v>
      </c>
      <c r="B361" s="915"/>
      <c r="C361" s="916"/>
      <c r="D361" s="916"/>
      <c r="E361" s="916"/>
      <c r="F361" s="916"/>
      <c r="G361" s="916"/>
      <c r="H361" s="916"/>
      <c r="I361" s="916"/>
      <c r="J361" s="916"/>
      <c r="K361" s="916"/>
      <c r="L361" s="916"/>
      <c r="M361" s="916"/>
      <c r="N361" s="916"/>
      <c r="O361" s="207"/>
      <c r="P361" s="685"/>
      <c r="Q361" s="697"/>
      <c r="R361" s="693"/>
      <c r="S361" s="680"/>
      <c r="T361" s="680"/>
      <c r="U361" s="680"/>
      <c r="V361" s="680"/>
      <c r="W361" s="680"/>
      <c r="X361" s="680"/>
      <c r="Y361" s="680"/>
      <c r="Z361" s="680"/>
      <c r="AA361" s="680"/>
    </row>
    <row r="362" spans="1:27" x14ac:dyDescent="0.2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85"/>
      <c r="Q362" s="697"/>
      <c r="R362" s="693"/>
      <c r="S362" s="680"/>
      <c r="T362" s="680"/>
      <c r="U362" s="680"/>
      <c r="V362" s="680"/>
      <c r="W362" s="680"/>
      <c r="X362" s="680"/>
      <c r="Y362" s="680"/>
      <c r="Z362" s="680"/>
      <c r="AA362" s="680"/>
    </row>
    <row r="363" spans="1:27" x14ac:dyDescent="0.2">
      <c r="A363" s="207"/>
      <c r="B363" s="207"/>
      <c r="C363" s="208" t="s">
        <v>6</v>
      </c>
      <c r="D363" s="207"/>
      <c r="E363" s="207"/>
      <c r="F363" s="947" t="str">
        <f>D5</f>
        <v/>
      </c>
      <c r="G363" s="947"/>
      <c r="H363" s="947"/>
      <c r="I363" s="947"/>
      <c r="J363" s="947"/>
      <c r="K363" s="947"/>
      <c r="L363" s="207"/>
      <c r="M363" s="207"/>
      <c r="N363" s="207"/>
      <c r="O363" s="207"/>
      <c r="P363" s="685"/>
      <c r="Q363" s="697"/>
      <c r="R363" s="693"/>
      <c r="S363" s="680"/>
      <c r="T363" s="680"/>
      <c r="U363" s="680"/>
      <c r="V363" s="680"/>
      <c r="W363" s="680"/>
      <c r="X363" s="680"/>
      <c r="Y363" s="680"/>
      <c r="Z363" s="680"/>
      <c r="AA363" s="680"/>
    </row>
    <row r="364" spans="1:27" x14ac:dyDescent="0.2">
      <c r="A364" s="207"/>
      <c r="B364" s="207"/>
      <c r="C364" s="208" t="s">
        <v>8</v>
      </c>
      <c r="D364" s="207"/>
      <c r="E364" s="207"/>
      <c r="F364" s="925" t="str">
        <f>D6</f>
        <v/>
      </c>
      <c r="G364" s="925"/>
      <c r="H364" s="925"/>
      <c r="I364" s="925"/>
      <c r="J364" s="925"/>
      <c r="K364" s="925"/>
      <c r="L364" s="207"/>
      <c r="M364" s="207"/>
      <c r="N364" s="207"/>
      <c r="O364" s="207"/>
      <c r="P364" s="685"/>
      <c r="Q364" s="697"/>
      <c r="R364" s="693"/>
      <c r="S364" s="680"/>
      <c r="T364" s="680"/>
      <c r="U364" s="680"/>
      <c r="V364" s="680"/>
      <c r="W364" s="680"/>
      <c r="X364" s="680"/>
      <c r="Y364" s="680"/>
      <c r="Z364" s="680"/>
      <c r="AA364" s="680"/>
    </row>
    <row r="365" spans="1:27" x14ac:dyDescent="0.2">
      <c r="A365" s="207"/>
      <c r="B365" s="207"/>
      <c r="C365" s="208" t="s">
        <v>122</v>
      </c>
      <c r="D365" s="207"/>
      <c r="E365" s="207"/>
      <c r="F365" s="925" t="str">
        <f>D7</f>
        <v/>
      </c>
      <c r="G365" s="925"/>
      <c r="H365" s="925"/>
      <c r="I365" s="925"/>
      <c r="J365" s="925"/>
      <c r="K365" s="925"/>
      <c r="L365" s="207"/>
      <c r="M365" s="207"/>
      <c r="N365" s="207"/>
      <c r="O365" s="207"/>
      <c r="P365" s="685"/>
      <c r="Q365" s="697"/>
      <c r="R365" s="693"/>
      <c r="S365" s="680"/>
      <c r="T365" s="680"/>
      <c r="U365" s="680"/>
      <c r="V365" s="680"/>
      <c r="W365" s="680"/>
      <c r="X365" s="680"/>
      <c r="Y365" s="680"/>
      <c r="Z365" s="680"/>
      <c r="AA365" s="680"/>
    </row>
    <row r="366" spans="1:27" x14ac:dyDescent="0.2">
      <c r="A366" s="207"/>
      <c r="B366" s="207"/>
      <c r="C366" s="208" t="s">
        <v>10</v>
      </c>
      <c r="D366" s="207"/>
      <c r="E366" s="207"/>
      <c r="F366" s="925" t="str">
        <f>D8</f>
        <v/>
      </c>
      <c r="G366" s="925"/>
      <c r="H366" s="925"/>
      <c r="I366" s="925"/>
      <c r="J366" s="925"/>
      <c r="K366" s="925"/>
      <c r="L366" s="207"/>
      <c r="M366" s="207"/>
      <c r="N366" s="207"/>
      <c r="O366" s="207"/>
      <c r="P366" s="685"/>
      <c r="Q366" s="685"/>
      <c r="R366" s="693"/>
      <c r="S366" s="680"/>
      <c r="T366" s="680"/>
      <c r="U366" s="680"/>
      <c r="V366" s="680"/>
      <c r="W366" s="680"/>
      <c r="X366" s="680"/>
      <c r="Y366" s="680"/>
      <c r="Z366" s="680"/>
      <c r="AA366" s="680"/>
    </row>
    <row r="367" spans="1:27" x14ac:dyDescent="0.2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85"/>
      <c r="Q367" s="685"/>
      <c r="R367" s="693"/>
      <c r="S367" s="680"/>
      <c r="T367" s="680"/>
      <c r="U367" s="680"/>
      <c r="V367" s="680"/>
      <c r="W367" s="680"/>
      <c r="X367" s="680"/>
      <c r="Y367" s="680"/>
      <c r="Z367" s="680"/>
      <c r="AA367" s="680"/>
    </row>
    <row r="368" spans="1:27" x14ac:dyDescent="0.2">
      <c r="A368" s="100"/>
      <c r="B368" s="256" t="s">
        <v>208</v>
      </c>
      <c r="C368" s="850" t="s">
        <v>155</v>
      </c>
      <c r="D368" s="852"/>
      <c r="E368" s="852"/>
      <c r="F368" s="912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86" t="s">
        <v>156</v>
      </c>
      <c r="Q368" s="685"/>
      <c r="R368" s="693"/>
      <c r="S368" s="680"/>
      <c r="T368" s="680"/>
      <c r="U368" s="680"/>
      <c r="V368" s="680"/>
      <c r="W368" s="680"/>
      <c r="X368" s="680"/>
      <c r="Y368" s="680"/>
      <c r="Z368" s="680"/>
      <c r="AA368" s="680"/>
    </row>
    <row r="369" spans="1:27" x14ac:dyDescent="0.2">
      <c r="A369" s="105"/>
      <c r="B369" s="108" t="s">
        <v>210</v>
      </c>
      <c r="C369" s="106" t="s">
        <v>22</v>
      </c>
      <c r="D369" s="80"/>
      <c r="E369" s="80" t="s">
        <v>225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87" t="str">
        <f>$P$80</f>
        <v>Year or</v>
      </c>
      <c r="Q369" s="685"/>
      <c r="R369" s="693"/>
      <c r="S369" s="680"/>
      <c r="T369" s="680"/>
      <c r="U369" s="680"/>
      <c r="V369" s="680"/>
      <c r="W369" s="680"/>
      <c r="X369" s="680"/>
      <c r="Y369" s="680"/>
      <c r="Z369" s="680"/>
      <c r="AA369" s="680"/>
    </row>
    <row r="370" spans="1:27" x14ac:dyDescent="0.2">
      <c r="A370" s="109" t="s">
        <v>32</v>
      </c>
      <c r="B370" s="109" t="s">
        <v>221</v>
      </c>
      <c r="C370" s="110" t="s">
        <v>34</v>
      </c>
      <c r="D370" s="111" t="s">
        <v>30</v>
      </c>
      <c r="E370" s="111" t="s">
        <v>226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88" t="str">
        <f>$P$81</f>
        <v>Portion of</v>
      </c>
      <c r="Q370" s="685"/>
      <c r="R370" s="693"/>
      <c r="S370" s="680"/>
      <c r="T370" s="680"/>
      <c r="U370" s="680"/>
      <c r="V370" s="680"/>
      <c r="W370" s="680"/>
      <c r="X370" s="680"/>
      <c r="Y370" s="680"/>
      <c r="Z370" s="680"/>
      <c r="AA370" s="680"/>
    </row>
    <row r="371" spans="1:27" x14ac:dyDescent="0.2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812" t="str">
        <f>IFERROR(IF(C371*0.35=0,"",C371*0.35),"")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88" t="str">
        <f>$P$82</f>
        <v>a Year</v>
      </c>
      <c r="Q371" s="685"/>
      <c r="R371" s="680"/>
      <c r="S371" s="685"/>
      <c r="T371" s="680"/>
      <c r="U371" s="680"/>
      <c r="V371" s="680"/>
      <c r="W371" s="685"/>
      <c r="X371" s="680"/>
      <c r="Y371" s="680"/>
      <c r="Z371" s="680"/>
      <c r="AA371" s="680"/>
    </row>
    <row r="372" spans="1:27" x14ac:dyDescent="0.2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812" t="str">
        <f t="shared" ref="D372:D410" si="70">IFERROR(IF(C372*0.35=0,"",C372*0.35),"")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89">
        <f>IF(AND(totalyrs&gt;9,totalyrs&lt;10),totalyrs-9,1)</f>
        <v>1</v>
      </c>
      <c r="Q372" s="698" t="s">
        <v>157</v>
      </c>
      <c r="R372" s="680"/>
      <c r="S372" s="680"/>
      <c r="T372" s="680"/>
      <c r="U372" s="680"/>
      <c r="V372" s="680"/>
      <c r="W372" s="685"/>
      <c r="X372" s="680"/>
      <c r="Y372" s="680"/>
      <c r="Z372" s="680"/>
      <c r="AA372" s="680"/>
    </row>
    <row r="373" spans="1:27" x14ac:dyDescent="0.2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812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89"/>
      <c r="Q373" s="690"/>
      <c r="R373" s="680"/>
      <c r="S373" s="680"/>
      <c r="T373" s="680"/>
      <c r="U373" s="680"/>
      <c r="V373" s="680"/>
      <c r="W373" s="685"/>
      <c r="X373" s="680"/>
      <c r="Y373" s="680"/>
      <c r="Z373" s="680"/>
      <c r="AA373" s="680"/>
    </row>
    <row r="374" spans="1:27" x14ac:dyDescent="0.2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812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88"/>
      <c r="Q374" s="685"/>
      <c r="R374" s="680"/>
      <c r="S374" s="680"/>
      <c r="T374" s="680"/>
      <c r="U374" s="680"/>
      <c r="V374" s="680"/>
      <c r="W374" s="685"/>
      <c r="X374" s="680"/>
      <c r="Y374" s="680"/>
      <c r="Z374" s="680"/>
      <c r="AA374" s="680"/>
    </row>
    <row r="375" spans="1:27" x14ac:dyDescent="0.2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812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88"/>
      <c r="Q375" s="685"/>
      <c r="R375" s="680"/>
      <c r="S375" s="680"/>
      <c r="T375" s="680"/>
      <c r="U375" s="680"/>
      <c r="V375" s="680"/>
      <c r="W375" s="685"/>
      <c r="X375" s="680"/>
      <c r="Y375" s="680"/>
      <c r="Z375" s="680"/>
      <c r="AA375" s="680"/>
    </row>
    <row r="376" spans="1:27" x14ac:dyDescent="0.2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812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88"/>
      <c r="Q376" s="685"/>
      <c r="R376" s="680"/>
      <c r="S376" s="680"/>
      <c r="T376" s="680"/>
      <c r="U376" s="680"/>
      <c r="V376" s="680"/>
      <c r="W376" s="685"/>
      <c r="X376" s="680"/>
      <c r="Y376" s="680"/>
      <c r="Z376" s="680"/>
      <c r="AA376" s="680"/>
    </row>
    <row r="377" spans="1:27" x14ac:dyDescent="0.2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812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88"/>
      <c r="Q377" s="685"/>
      <c r="R377" s="680"/>
      <c r="S377" s="680"/>
      <c r="T377" s="680"/>
      <c r="U377" s="680"/>
      <c r="V377" s="680"/>
      <c r="W377" s="685"/>
      <c r="X377" s="680"/>
      <c r="Y377" s="680"/>
      <c r="Z377" s="680"/>
      <c r="AA377" s="680"/>
    </row>
    <row r="378" spans="1:27" x14ac:dyDescent="0.2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812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88"/>
      <c r="Q378" s="685"/>
      <c r="R378" s="680"/>
      <c r="S378" s="680"/>
      <c r="T378" s="680"/>
      <c r="U378" s="680"/>
      <c r="V378" s="680"/>
      <c r="W378" s="685"/>
      <c r="X378" s="680"/>
      <c r="Y378" s="680"/>
      <c r="Z378" s="680"/>
      <c r="AA378" s="680"/>
    </row>
    <row r="379" spans="1:27" x14ac:dyDescent="0.2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812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88"/>
      <c r="Q379" s="685"/>
      <c r="R379" s="680"/>
      <c r="S379" s="680"/>
      <c r="T379" s="680"/>
      <c r="U379" s="680"/>
      <c r="V379" s="680"/>
      <c r="W379" s="685"/>
      <c r="X379" s="680"/>
      <c r="Y379" s="680"/>
      <c r="Z379" s="680"/>
      <c r="AA379" s="680"/>
    </row>
    <row r="380" spans="1:27" x14ac:dyDescent="0.2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812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88"/>
      <c r="Q380" s="685"/>
      <c r="R380" s="680"/>
      <c r="S380" s="680"/>
      <c r="T380" s="680"/>
      <c r="U380" s="680"/>
      <c r="V380" s="680"/>
      <c r="W380" s="685"/>
      <c r="X380" s="680"/>
      <c r="Y380" s="680"/>
      <c r="Z380" s="680"/>
      <c r="AA380" s="680"/>
    </row>
    <row r="381" spans="1:27" x14ac:dyDescent="0.2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812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88"/>
      <c r="Q381" s="685"/>
      <c r="R381" s="680"/>
      <c r="S381" s="680"/>
      <c r="T381" s="680"/>
      <c r="U381" s="680"/>
      <c r="V381" s="680"/>
      <c r="W381" s="685"/>
      <c r="X381" s="680"/>
      <c r="Y381" s="680"/>
      <c r="Z381" s="680"/>
      <c r="AA381" s="680"/>
    </row>
    <row r="382" spans="1:27" x14ac:dyDescent="0.2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812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93"/>
      <c r="Q382" s="693"/>
      <c r="R382" s="680"/>
      <c r="S382" s="680"/>
      <c r="T382" s="680"/>
      <c r="U382" s="680"/>
      <c r="V382" s="680"/>
      <c r="W382" s="685"/>
      <c r="X382" s="680"/>
      <c r="Y382" s="680"/>
      <c r="Z382" s="680"/>
      <c r="AA382" s="680"/>
    </row>
    <row r="383" spans="1:27" x14ac:dyDescent="0.2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812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93"/>
      <c r="Q383" s="693"/>
      <c r="R383" s="680"/>
      <c r="S383" s="680"/>
      <c r="T383" s="680"/>
      <c r="U383" s="680"/>
      <c r="V383" s="680"/>
      <c r="W383" s="685"/>
      <c r="X383" s="680"/>
      <c r="Y383" s="680"/>
      <c r="Z383" s="680"/>
      <c r="AA383" s="680"/>
    </row>
    <row r="384" spans="1:27" x14ac:dyDescent="0.2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812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93"/>
      <c r="Q384" s="693"/>
      <c r="R384" s="680"/>
      <c r="S384" s="680"/>
      <c r="T384" s="680"/>
      <c r="U384" s="680"/>
      <c r="V384" s="680"/>
      <c r="W384" s="685"/>
      <c r="X384" s="680"/>
      <c r="Y384" s="680"/>
      <c r="Z384" s="680"/>
      <c r="AA384" s="680"/>
    </row>
    <row r="385" spans="1:27" x14ac:dyDescent="0.2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812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85"/>
      <c r="Q385" s="685"/>
      <c r="R385" s="680"/>
      <c r="S385" s="680"/>
      <c r="T385" s="680"/>
      <c r="U385" s="680"/>
      <c r="V385" s="680"/>
      <c r="W385" s="685"/>
      <c r="X385" s="680"/>
      <c r="Y385" s="680"/>
      <c r="Z385" s="680"/>
      <c r="AA385" s="680"/>
    </row>
    <row r="386" spans="1:27" x14ac:dyDescent="0.2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812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85"/>
      <c r="Q386" s="685"/>
      <c r="R386" s="680"/>
      <c r="S386" s="680"/>
      <c r="T386" s="680"/>
      <c r="U386" s="680"/>
      <c r="V386" s="680"/>
      <c r="W386" s="685"/>
      <c r="X386" s="680"/>
      <c r="Y386" s="680"/>
      <c r="Z386" s="680"/>
      <c r="AA386" s="680"/>
    </row>
    <row r="387" spans="1:27" x14ac:dyDescent="0.2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812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85"/>
      <c r="Q387" s="685"/>
      <c r="R387" s="680"/>
      <c r="S387" s="680"/>
      <c r="T387" s="680"/>
      <c r="U387" s="680"/>
      <c r="V387" s="680"/>
      <c r="W387" s="685"/>
      <c r="X387" s="680"/>
      <c r="Y387" s="680"/>
      <c r="Z387" s="680"/>
      <c r="AA387" s="680"/>
    </row>
    <row r="388" spans="1:27" x14ac:dyDescent="0.2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812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85"/>
      <c r="Q388" s="685"/>
      <c r="R388" s="680"/>
      <c r="S388" s="680"/>
      <c r="T388" s="680"/>
      <c r="U388" s="680"/>
      <c r="V388" s="680"/>
      <c r="W388" s="685"/>
      <c r="X388" s="680"/>
      <c r="Y388" s="680"/>
      <c r="Z388" s="680"/>
      <c r="AA388" s="680"/>
    </row>
    <row r="389" spans="1:27" x14ac:dyDescent="0.2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812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85"/>
      <c r="Q389" s="685"/>
      <c r="R389" s="680"/>
      <c r="S389" s="680"/>
      <c r="T389" s="680"/>
      <c r="U389" s="680"/>
      <c r="V389" s="680"/>
      <c r="W389" s="685"/>
      <c r="X389" s="680"/>
      <c r="Y389" s="680"/>
      <c r="Z389" s="680"/>
      <c r="AA389" s="680"/>
    </row>
    <row r="390" spans="1:27" x14ac:dyDescent="0.2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812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85"/>
      <c r="Q390" s="685"/>
      <c r="R390" s="680"/>
      <c r="S390" s="680"/>
      <c r="T390" s="680"/>
      <c r="U390" s="680"/>
      <c r="V390" s="680"/>
      <c r="W390" s="685"/>
      <c r="X390" s="680"/>
      <c r="Y390" s="680"/>
      <c r="Z390" s="680"/>
      <c r="AA390" s="680"/>
    </row>
    <row r="391" spans="1:27" x14ac:dyDescent="0.2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812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85"/>
      <c r="Q391" s="685"/>
      <c r="R391" s="680"/>
      <c r="S391" s="680"/>
      <c r="T391" s="680"/>
      <c r="U391" s="680"/>
      <c r="V391" s="680"/>
      <c r="W391" s="685"/>
      <c r="X391" s="680"/>
      <c r="Y391" s="680"/>
      <c r="Z391" s="680"/>
      <c r="AA391" s="680"/>
    </row>
    <row r="392" spans="1:27" x14ac:dyDescent="0.2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812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85"/>
      <c r="Q392" s="685"/>
      <c r="R392" s="680"/>
      <c r="S392" s="680"/>
      <c r="T392" s="680"/>
      <c r="U392" s="680"/>
      <c r="V392" s="680"/>
      <c r="W392" s="685"/>
      <c r="X392" s="680"/>
      <c r="Y392" s="680"/>
      <c r="Z392" s="680"/>
      <c r="AA392" s="680"/>
    </row>
    <row r="393" spans="1:27" x14ac:dyDescent="0.2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812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85"/>
      <c r="Q393" s="685"/>
      <c r="R393" s="680"/>
      <c r="S393" s="680"/>
      <c r="T393" s="680"/>
      <c r="U393" s="680"/>
      <c r="V393" s="680"/>
      <c r="W393" s="685"/>
      <c r="X393" s="680"/>
      <c r="Y393" s="680"/>
      <c r="Z393" s="680"/>
      <c r="AA393" s="680"/>
    </row>
    <row r="394" spans="1:27" x14ac:dyDescent="0.2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812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85"/>
      <c r="Q394" s="685"/>
      <c r="R394" s="680"/>
      <c r="S394" s="680"/>
      <c r="T394" s="680"/>
      <c r="U394" s="680"/>
      <c r="V394" s="680"/>
      <c r="W394" s="685"/>
      <c r="X394" s="680"/>
      <c r="Y394" s="680"/>
      <c r="Z394" s="680"/>
      <c r="AA394" s="680"/>
    </row>
    <row r="395" spans="1:27" x14ac:dyDescent="0.2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812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85"/>
      <c r="Q395" s="685"/>
      <c r="R395" s="680"/>
      <c r="S395" s="680"/>
      <c r="T395" s="680"/>
      <c r="U395" s="680"/>
      <c r="V395" s="680"/>
      <c r="W395" s="685"/>
      <c r="X395" s="680"/>
      <c r="Y395" s="680"/>
      <c r="Z395" s="680"/>
      <c r="AA395" s="680"/>
    </row>
    <row r="396" spans="1:27" x14ac:dyDescent="0.2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812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85"/>
      <c r="Q396" s="685"/>
      <c r="R396" s="680"/>
      <c r="S396" s="680"/>
      <c r="T396" s="680"/>
      <c r="U396" s="680"/>
      <c r="V396" s="680"/>
      <c r="W396" s="685"/>
      <c r="X396" s="680"/>
      <c r="Y396" s="680"/>
      <c r="Z396" s="680"/>
      <c r="AA396" s="680"/>
    </row>
    <row r="397" spans="1:27" x14ac:dyDescent="0.2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812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85"/>
      <c r="Q397" s="685"/>
      <c r="R397" s="680"/>
      <c r="S397" s="680"/>
      <c r="T397" s="680"/>
      <c r="U397" s="680"/>
      <c r="V397" s="680"/>
      <c r="W397" s="685"/>
      <c r="X397" s="680"/>
      <c r="Y397" s="680"/>
      <c r="Z397" s="680"/>
      <c r="AA397" s="680"/>
    </row>
    <row r="398" spans="1:27" x14ac:dyDescent="0.2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812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85"/>
      <c r="Q398" s="685"/>
      <c r="R398" s="680"/>
      <c r="S398" s="680"/>
      <c r="T398" s="680"/>
      <c r="U398" s="680"/>
      <c r="V398" s="680"/>
      <c r="W398" s="685"/>
      <c r="X398" s="680"/>
      <c r="Y398" s="680"/>
      <c r="Z398" s="680"/>
      <c r="AA398" s="680"/>
    </row>
    <row r="399" spans="1:27" x14ac:dyDescent="0.2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812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85"/>
      <c r="Q399" s="685"/>
      <c r="R399" s="680"/>
      <c r="S399" s="680"/>
      <c r="T399" s="680"/>
      <c r="U399" s="680"/>
      <c r="V399" s="680"/>
      <c r="W399" s="685"/>
      <c r="X399" s="680"/>
      <c r="Y399" s="680"/>
      <c r="Z399" s="680"/>
      <c r="AA399" s="680"/>
    </row>
    <row r="400" spans="1:27" x14ac:dyDescent="0.2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812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85"/>
      <c r="Q400" s="685"/>
      <c r="R400" s="680"/>
      <c r="S400" s="680"/>
      <c r="T400" s="680"/>
      <c r="U400" s="680"/>
      <c r="V400" s="680"/>
      <c r="W400" s="685"/>
      <c r="X400" s="680"/>
      <c r="Y400" s="680"/>
      <c r="Z400" s="680"/>
      <c r="AA400" s="680"/>
    </row>
    <row r="401" spans="1:27" x14ac:dyDescent="0.2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812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85"/>
      <c r="Q401" s="685"/>
      <c r="R401" s="680"/>
      <c r="S401" s="680"/>
      <c r="T401" s="680"/>
      <c r="U401" s="680"/>
      <c r="V401" s="680"/>
      <c r="W401" s="685"/>
      <c r="X401" s="680"/>
      <c r="Y401" s="680"/>
      <c r="Z401" s="680"/>
      <c r="AA401" s="680"/>
    </row>
    <row r="402" spans="1:27" x14ac:dyDescent="0.2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812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85"/>
      <c r="Q402" s="685"/>
      <c r="R402" s="680"/>
      <c r="S402" s="680"/>
      <c r="T402" s="680"/>
      <c r="U402" s="680"/>
      <c r="V402" s="680"/>
      <c r="W402" s="685"/>
      <c r="X402" s="680"/>
      <c r="Y402" s="680"/>
      <c r="Z402" s="680"/>
      <c r="AA402" s="680"/>
    </row>
    <row r="403" spans="1:27" x14ac:dyDescent="0.2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812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85"/>
      <c r="Q403" s="685"/>
      <c r="R403" s="680"/>
      <c r="S403" s="680"/>
      <c r="T403" s="680"/>
      <c r="U403" s="680"/>
      <c r="V403" s="680"/>
      <c r="W403" s="685"/>
      <c r="X403" s="680"/>
      <c r="Y403" s="680"/>
      <c r="Z403" s="680"/>
      <c r="AA403" s="680"/>
    </row>
    <row r="404" spans="1:27" x14ac:dyDescent="0.2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812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85"/>
      <c r="Q404" s="685"/>
      <c r="R404" s="680"/>
      <c r="S404" s="680"/>
      <c r="T404" s="680"/>
      <c r="U404" s="680"/>
      <c r="V404" s="680"/>
      <c r="W404" s="685"/>
      <c r="X404" s="680"/>
      <c r="Y404" s="680"/>
      <c r="Z404" s="680"/>
      <c r="AA404" s="680"/>
    </row>
    <row r="405" spans="1:27" x14ac:dyDescent="0.2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812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85"/>
      <c r="Q405" s="685"/>
      <c r="R405" s="680"/>
      <c r="S405" s="680"/>
      <c r="T405" s="680"/>
      <c r="U405" s="680"/>
      <c r="V405" s="680"/>
      <c r="W405" s="685"/>
      <c r="X405" s="680"/>
      <c r="Y405" s="680"/>
      <c r="Z405" s="680"/>
      <c r="AA405" s="680"/>
    </row>
    <row r="406" spans="1:27" x14ac:dyDescent="0.2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812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85"/>
      <c r="Q406" s="685"/>
      <c r="R406" s="680"/>
      <c r="S406" s="680"/>
      <c r="T406" s="680"/>
      <c r="U406" s="680"/>
      <c r="V406" s="680"/>
      <c r="W406" s="685"/>
      <c r="X406" s="680"/>
      <c r="Y406" s="680"/>
      <c r="Z406" s="680"/>
      <c r="AA406" s="680"/>
    </row>
    <row r="407" spans="1:27" x14ac:dyDescent="0.2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812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85"/>
      <c r="Q407" s="685"/>
      <c r="R407" s="680"/>
      <c r="S407" s="680"/>
      <c r="T407" s="680"/>
      <c r="U407" s="680"/>
      <c r="V407" s="680"/>
      <c r="W407" s="685"/>
      <c r="X407" s="680"/>
      <c r="Y407" s="680"/>
      <c r="Z407" s="680"/>
      <c r="AA407" s="680"/>
    </row>
    <row r="408" spans="1:27" x14ac:dyDescent="0.2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812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85"/>
      <c r="Q408" s="685"/>
      <c r="R408" s="680"/>
      <c r="S408" s="680"/>
      <c r="T408" s="680"/>
      <c r="U408" s="680"/>
      <c r="V408" s="680"/>
      <c r="W408" s="685"/>
      <c r="X408" s="680"/>
      <c r="Y408" s="680"/>
      <c r="Z408" s="680"/>
      <c r="AA408" s="680"/>
    </row>
    <row r="409" spans="1:27" x14ac:dyDescent="0.2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812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85"/>
      <c r="Q409" s="685"/>
      <c r="R409" s="680"/>
      <c r="S409" s="680"/>
      <c r="T409" s="680"/>
      <c r="U409" s="680"/>
      <c r="V409" s="680"/>
      <c r="W409" s="685"/>
      <c r="X409" s="680"/>
      <c r="Y409" s="680"/>
      <c r="Z409" s="680"/>
      <c r="AA409" s="680"/>
    </row>
    <row r="410" spans="1:27" x14ac:dyDescent="0.2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812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85"/>
      <c r="Q410" s="685"/>
      <c r="R410" s="680"/>
      <c r="S410" s="680"/>
      <c r="T410" s="680"/>
      <c r="U410" s="680"/>
      <c r="V410" s="680"/>
      <c r="W410" s="685"/>
      <c r="X410" s="680"/>
      <c r="Y410" s="680"/>
      <c r="Z410" s="680"/>
      <c r="AA410" s="680"/>
    </row>
    <row r="411" spans="1:27" x14ac:dyDescent="0.2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85"/>
      <c r="Q411" s="685"/>
      <c r="R411" s="685"/>
      <c r="S411" s="680"/>
      <c r="T411" s="680"/>
      <c r="U411" s="680"/>
      <c r="V411" s="680"/>
      <c r="W411" s="680"/>
      <c r="X411" s="680"/>
      <c r="Y411" s="680"/>
      <c r="Z411" s="680"/>
      <c r="AA411" s="680"/>
    </row>
    <row r="412" spans="1:27" x14ac:dyDescent="0.2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93"/>
      <c r="Q412" s="693"/>
      <c r="R412" s="693"/>
      <c r="S412" s="680"/>
      <c r="T412" s="680"/>
      <c r="U412" s="680"/>
      <c r="V412" s="680"/>
      <c r="W412" s="680"/>
      <c r="X412" s="680"/>
      <c r="Y412" s="680"/>
      <c r="Z412" s="680"/>
      <c r="AA412" s="680"/>
    </row>
    <row r="413" spans="1:27" ht="12.75" customHeight="1" x14ac:dyDescent="0.2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85"/>
      <c r="Q413" s="697"/>
      <c r="R413" s="685"/>
      <c r="S413" s="679"/>
      <c r="T413" s="680"/>
      <c r="U413" s="680"/>
      <c r="V413" s="680"/>
      <c r="W413" s="680"/>
      <c r="X413" s="680"/>
      <c r="Y413" s="680"/>
      <c r="Z413" s="680"/>
      <c r="AA413" s="680"/>
    </row>
    <row r="414" spans="1:27" ht="12.75" customHeight="1" x14ac:dyDescent="0.2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85"/>
      <c r="Q414" s="697"/>
      <c r="R414" s="685"/>
      <c r="S414" s="679"/>
      <c r="T414" s="680"/>
      <c r="U414" s="680"/>
      <c r="V414" s="680"/>
      <c r="W414" s="680"/>
      <c r="X414" s="680"/>
      <c r="Y414" s="680"/>
      <c r="Z414" s="680"/>
      <c r="AA414" s="680"/>
    </row>
    <row r="415" spans="1:27" x14ac:dyDescent="0.2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">
      <c r="A416" s="30"/>
      <c r="B416" s="30"/>
      <c r="C416" s="34"/>
      <c r="D416" s="30"/>
      <c r="E416" s="30"/>
      <c r="F416" s="30"/>
      <c r="G416" s="30"/>
    </row>
    <row r="417" spans="1:21" x14ac:dyDescent="0.2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">
      <c r="L423" s="82"/>
      <c r="M423" s="82"/>
    </row>
    <row r="424" spans="1:21" x14ac:dyDescent="0.2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">
      <c r="A428" s="84" t="s">
        <v>56</v>
      </c>
      <c r="B428" s="84"/>
      <c r="C428" s="89">
        <v>0.35</v>
      </c>
      <c r="D428" s="30"/>
      <c r="E428" s="30"/>
      <c r="F428" s="90">
        <v>10000</v>
      </c>
      <c r="G428" s="89">
        <v>0.43</v>
      </c>
      <c r="H428" s="91">
        <f t="shared" ref="H428:U434" si="73">$G428*(1+FringeIncrease)^G$426</f>
        <v>0.45150000000000001</v>
      </c>
      <c r="I428" s="91">
        <f t="shared" si="73"/>
        <v>0.47407500000000002</v>
      </c>
      <c r="J428" s="91"/>
      <c r="K428" s="91">
        <f t="shared" ref="K428:K434" si="74">$G428*(1+FringeIncrease)^I$426</f>
        <v>0.49777875000000005</v>
      </c>
      <c r="L428" s="91">
        <f t="shared" si="73"/>
        <v>0.52266768750000003</v>
      </c>
      <c r="M428" s="91"/>
      <c r="N428" s="91">
        <f t="shared" ref="N428:N434" si="75">$G428*(1+FringeIncrease)^L$426</f>
        <v>0.54880107187500005</v>
      </c>
      <c r="O428" s="92">
        <f t="shared" si="73"/>
        <v>0.57624112546874995</v>
      </c>
      <c r="P428" s="91">
        <f t="shared" si="73"/>
        <v>0.60505318174218758</v>
      </c>
      <c r="Q428" s="91">
        <f t="shared" si="73"/>
        <v>0.63530584082929686</v>
      </c>
      <c r="R428" s="91">
        <f t="shared" si="73"/>
        <v>0.66707113287076181</v>
      </c>
      <c r="S428" s="91">
        <f t="shared" si="73"/>
        <v>0.70042468951429981</v>
      </c>
      <c r="T428" s="91">
        <f t="shared" si="73"/>
        <v>0.73544592399001496</v>
      </c>
      <c r="U428" s="91">
        <f t="shared" si="73"/>
        <v>0.77221822018951558</v>
      </c>
    </row>
    <row r="429" spans="1:21" x14ac:dyDescent="0.2">
      <c r="A429" s="84" t="s">
        <v>57</v>
      </c>
      <c r="B429" s="84"/>
      <c r="C429" s="89">
        <v>0.35</v>
      </c>
      <c r="D429" s="30"/>
      <c r="E429" s="30"/>
      <c r="F429" s="90">
        <v>15001</v>
      </c>
      <c r="G429" s="89">
        <v>0.43</v>
      </c>
      <c r="H429" s="91">
        <f t="shared" si="73"/>
        <v>0.45150000000000001</v>
      </c>
      <c r="I429" s="91">
        <f t="shared" si="73"/>
        <v>0.47407500000000002</v>
      </c>
      <c r="J429" s="91"/>
      <c r="K429" s="91">
        <f t="shared" si="74"/>
        <v>0.49777875000000005</v>
      </c>
      <c r="L429" s="91">
        <f t="shared" si="73"/>
        <v>0.52266768750000003</v>
      </c>
      <c r="M429" s="91"/>
      <c r="N429" s="91">
        <f t="shared" si="75"/>
        <v>0.54880107187500005</v>
      </c>
      <c r="O429" s="92">
        <f t="shared" si="73"/>
        <v>0.57624112546874995</v>
      </c>
      <c r="P429" s="91">
        <f t="shared" si="73"/>
        <v>0.60505318174218758</v>
      </c>
      <c r="Q429" s="91">
        <f t="shared" si="73"/>
        <v>0.63530584082929686</v>
      </c>
      <c r="R429" s="91">
        <f t="shared" si="73"/>
        <v>0.66707113287076181</v>
      </c>
      <c r="S429" s="91">
        <f t="shared" si="73"/>
        <v>0.70042468951429981</v>
      </c>
      <c r="T429" s="91">
        <f t="shared" si="73"/>
        <v>0.73544592399001496</v>
      </c>
      <c r="U429" s="91">
        <f t="shared" si="73"/>
        <v>0.77221822018951558</v>
      </c>
    </row>
    <row r="430" spans="1:21" x14ac:dyDescent="0.2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0.28999999999999998</v>
      </c>
      <c r="H430" s="91">
        <f t="shared" si="73"/>
        <v>0.30449999999999999</v>
      </c>
      <c r="I430" s="91">
        <f t="shared" si="73"/>
        <v>0.31972499999999998</v>
      </c>
      <c r="J430" s="91"/>
      <c r="K430" s="91">
        <f t="shared" si="74"/>
        <v>0.33571125000000002</v>
      </c>
      <c r="L430" s="91">
        <f t="shared" si="73"/>
        <v>0.35249681249999998</v>
      </c>
      <c r="M430" s="91"/>
      <c r="N430" s="91">
        <f t="shared" si="75"/>
        <v>0.37012165312500001</v>
      </c>
      <c r="O430" s="92">
        <f t="shared" si="73"/>
        <v>0.38862773578124998</v>
      </c>
      <c r="P430" s="91">
        <f t="shared" si="73"/>
        <v>0.40805912257031252</v>
      </c>
      <c r="Q430" s="91">
        <f t="shared" si="73"/>
        <v>0.42846207869882813</v>
      </c>
      <c r="R430" s="91">
        <f t="shared" si="73"/>
        <v>0.44988518263376953</v>
      </c>
      <c r="S430" s="91">
        <f t="shared" si="73"/>
        <v>0.47237944176545804</v>
      </c>
      <c r="T430" s="91">
        <f t="shared" si="73"/>
        <v>0.49599841385373095</v>
      </c>
      <c r="U430" s="91">
        <f t="shared" si="73"/>
        <v>0.52079833454641744</v>
      </c>
    </row>
    <row r="431" spans="1:21" x14ac:dyDescent="0.2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0.27</v>
      </c>
      <c r="H431" s="91">
        <f t="shared" si="73"/>
        <v>0.28350000000000003</v>
      </c>
      <c r="I431" s="91">
        <f t="shared" si="73"/>
        <v>0.29767500000000002</v>
      </c>
      <c r="J431" s="91"/>
      <c r="K431" s="91">
        <f t="shared" si="74"/>
        <v>0.31255875000000005</v>
      </c>
      <c r="L431" s="91">
        <f t="shared" si="73"/>
        <v>0.32818668750000002</v>
      </c>
      <c r="M431" s="91"/>
      <c r="N431" s="91">
        <f t="shared" si="75"/>
        <v>0.34459602187500005</v>
      </c>
      <c r="O431" s="92">
        <f t="shared" si="73"/>
        <v>0.36182582296875004</v>
      </c>
      <c r="P431" s="91">
        <f t="shared" si="73"/>
        <v>0.37991711411718759</v>
      </c>
      <c r="Q431" s="91">
        <f t="shared" si="73"/>
        <v>0.39891296982304691</v>
      </c>
      <c r="R431" s="91">
        <f t="shared" si="73"/>
        <v>0.41885861831419929</v>
      </c>
      <c r="S431" s="91">
        <f t="shared" si="73"/>
        <v>0.43980154922990927</v>
      </c>
      <c r="T431" s="91">
        <f t="shared" si="73"/>
        <v>0.46179162669140472</v>
      </c>
      <c r="U431" s="91">
        <f t="shared" si="73"/>
        <v>0.4848812080259749</v>
      </c>
    </row>
    <row r="432" spans="1:21" x14ac:dyDescent="0.2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0.24</v>
      </c>
      <c r="H432" s="91">
        <f t="shared" si="73"/>
        <v>0.252</v>
      </c>
      <c r="I432" s="91">
        <f t="shared" si="73"/>
        <v>0.2646</v>
      </c>
      <c r="J432" s="91"/>
      <c r="K432" s="91">
        <f t="shared" si="74"/>
        <v>0.27783000000000002</v>
      </c>
      <c r="L432" s="91">
        <f t="shared" si="73"/>
        <v>0.29172149999999997</v>
      </c>
      <c r="M432" s="91"/>
      <c r="N432" s="91">
        <f t="shared" si="75"/>
        <v>0.306307575</v>
      </c>
      <c r="O432" s="92">
        <f t="shared" si="73"/>
        <v>0.32162295375</v>
      </c>
      <c r="P432" s="91">
        <f t="shared" si="73"/>
        <v>0.33770410143750007</v>
      </c>
      <c r="Q432" s="91">
        <f t="shared" si="73"/>
        <v>0.35458930650937498</v>
      </c>
      <c r="R432" s="91">
        <f t="shared" si="73"/>
        <v>0.3723187718348438</v>
      </c>
      <c r="S432" s="91">
        <f t="shared" si="73"/>
        <v>0.39093471042658595</v>
      </c>
      <c r="T432" s="91">
        <f t="shared" si="73"/>
        <v>0.4104814459479153</v>
      </c>
      <c r="U432" s="91">
        <f t="shared" si="73"/>
        <v>0.43100551824531097</v>
      </c>
    </row>
    <row r="433" spans="1:21" x14ac:dyDescent="0.2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0.21</v>
      </c>
      <c r="H433" s="91">
        <f t="shared" si="73"/>
        <v>0.2205</v>
      </c>
      <c r="I433" s="91">
        <f t="shared" si="73"/>
        <v>0.23152500000000001</v>
      </c>
      <c r="J433" s="91"/>
      <c r="K433" s="91">
        <f t="shared" si="74"/>
        <v>0.24310125000000002</v>
      </c>
      <c r="L433" s="91">
        <f t="shared" si="73"/>
        <v>0.25525631249999997</v>
      </c>
      <c r="M433" s="91"/>
      <c r="N433" s="91">
        <f t="shared" si="75"/>
        <v>0.26801912812500001</v>
      </c>
      <c r="O433" s="92">
        <f t="shared" si="73"/>
        <v>0.28142008453125</v>
      </c>
      <c r="P433" s="91">
        <f t="shared" si="73"/>
        <v>0.29549108875781255</v>
      </c>
      <c r="Q433" s="91">
        <f t="shared" si="73"/>
        <v>0.31026564319570316</v>
      </c>
      <c r="R433" s="91">
        <f t="shared" si="73"/>
        <v>0.3257789253554883</v>
      </c>
      <c r="S433" s="91">
        <f t="shared" si="73"/>
        <v>0.34206787162326274</v>
      </c>
      <c r="T433" s="91">
        <f t="shared" si="73"/>
        <v>0.35917126520442588</v>
      </c>
      <c r="U433" s="91">
        <f t="shared" si="73"/>
        <v>0.3771298284646471</v>
      </c>
    </row>
    <row r="434" spans="1:21" x14ac:dyDescent="0.2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</v>
      </c>
      <c r="H434" s="91">
        <f t="shared" si="73"/>
        <v>0.21000000000000002</v>
      </c>
      <c r="I434" s="91">
        <f t="shared" si="73"/>
        <v>0.22050000000000003</v>
      </c>
      <c r="J434" s="91"/>
      <c r="K434" s="91">
        <f t="shared" si="74"/>
        <v>0.23152500000000004</v>
      </c>
      <c r="L434" s="91">
        <f t="shared" si="73"/>
        <v>0.24310125000000002</v>
      </c>
      <c r="M434" s="91"/>
      <c r="N434" s="91">
        <f t="shared" si="75"/>
        <v>0.25525631250000003</v>
      </c>
      <c r="O434" s="92">
        <f t="shared" si="73"/>
        <v>0.26801912812500001</v>
      </c>
      <c r="P434" s="91">
        <f t="shared" si="73"/>
        <v>0.28142008453125006</v>
      </c>
      <c r="Q434" s="91">
        <f t="shared" si="73"/>
        <v>0.29549108875781255</v>
      </c>
      <c r="R434" s="91">
        <f t="shared" si="73"/>
        <v>0.31026564319570316</v>
      </c>
      <c r="S434" s="91">
        <f t="shared" si="73"/>
        <v>0.32577892535548836</v>
      </c>
      <c r="T434" s="91">
        <f t="shared" si="73"/>
        <v>0.3420678716232628</v>
      </c>
      <c r="U434" s="91">
        <f t="shared" si="73"/>
        <v>0.35917126520442588</v>
      </c>
    </row>
    <row r="435" spans="1:21" x14ac:dyDescent="0.2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">
      <c r="H447" s="83"/>
    </row>
  </sheetData>
  <sheetProtection algorithmName="SHA-512" hashValue="wYzdkzMeEvhDzWpJtjbdUPvmSRDQzWriUDAuELllIovWDK59ax2/2AlxwILbCjPGdgn5Y+ssRe1dVrstC7xTBA==" saltValue="7xId/hHEQedwhWyVBFp6gA==" spinCount="100000" sheet="1" objects="1" scenarios="1"/>
  <mergeCells count="232"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indexed="46"/>
  </sheetPr>
  <dimension ref="A1:Y85"/>
  <sheetViews>
    <sheetView topLeftCell="A10" zoomScale="90" zoomScaleNormal="90" zoomScaleSheetLayoutView="90" workbookViewId="0">
      <selection activeCell="E24" sqref="E24"/>
    </sheetView>
  </sheetViews>
  <sheetFormatPr defaultRowHeight="12.75" x14ac:dyDescent="0.2"/>
  <cols>
    <col min="1" max="1" width="4.7109375" style="761" customWidth="1"/>
    <col min="2" max="2" width="7.5703125" style="761" customWidth="1"/>
    <col min="3" max="3" width="19.140625" style="761" customWidth="1"/>
    <col min="4" max="4" width="11" style="761" customWidth="1"/>
    <col min="5" max="5" width="13.85546875" style="761" bestFit="1" customWidth="1"/>
    <col min="6" max="8" width="11" style="761" customWidth="1"/>
    <col min="9" max="9" width="11.140625" style="761" customWidth="1"/>
    <col min="10" max="11" width="11" style="761" customWidth="1"/>
    <col min="12" max="12" width="11.140625" style="761" customWidth="1"/>
    <col min="13" max="13" width="11" style="761" customWidth="1"/>
    <col min="14" max="24" width="12.5703125" style="761" customWidth="1"/>
    <col min="25" max="16384" width="9.140625" style="761"/>
  </cols>
  <sheetData>
    <row r="1" spans="1:25" hidden="1" x14ac:dyDescent="0.2">
      <c r="C1" s="796"/>
      <c r="D1" s="796"/>
      <c r="E1" s="796"/>
      <c r="F1" s="796"/>
      <c r="G1" s="796"/>
      <c r="H1" s="797" t="s">
        <v>0</v>
      </c>
      <c r="I1" s="796"/>
    </row>
    <row r="2" spans="1:25" hidden="1" x14ac:dyDescent="0.2">
      <c r="A2" s="761" t="str">
        <f>+'[1]Salary Detail'!A3</f>
        <v>Revised 5/13/2016</v>
      </c>
      <c r="C2" s="796"/>
      <c r="D2" s="796"/>
      <c r="E2" s="796"/>
      <c r="F2" s="796"/>
      <c r="G2" s="796"/>
      <c r="H2" s="797" t="s">
        <v>194</v>
      </c>
      <c r="I2" s="796"/>
    </row>
    <row r="3" spans="1:25" hidden="1" x14ac:dyDescent="0.2">
      <c r="A3" s="795"/>
      <c r="B3" s="795"/>
      <c r="C3" s="794"/>
      <c r="D3" s="794"/>
      <c r="E3" s="794"/>
      <c r="F3" s="794"/>
      <c r="G3" s="794"/>
      <c r="H3" s="794"/>
      <c r="I3" s="794"/>
      <c r="J3" s="764"/>
      <c r="K3" s="764"/>
      <c r="L3" s="764"/>
      <c r="M3" s="764"/>
      <c r="N3" s="764"/>
    </row>
    <row r="4" spans="1:25" ht="16.7" hidden="1" customHeight="1" x14ac:dyDescent="0.2">
      <c r="A4" s="764"/>
      <c r="B4" s="764"/>
      <c r="C4" s="764"/>
      <c r="D4" s="763" t="s">
        <v>6</v>
      </c>
      <c r="E4" s="793">
        <f>'[1]Salary Detail'!E5</f>
        <v>0</v>
      </c>
      <c r="F4" s="792"/>
      <c r="G4" s="783"/>
      <c r="H4" s="783"/>
      <c r="I4" s="764"/>
      <c r="J4" s="764"/>
      <c r="K4" s="764"/>
      <c r="L4" s="764"/>
      <c r="M4" s="764"/>
      <c r="N4" s="764"/>
    </row>
    <row r="5" spans="1:25" hidden="1" x14ac:dyDescent="0.2">
      <c r="A5" s="764"/>
      <c r="B5" s="764"/>
      <c r="C5" s="764"/>
      <c r="D5" s="763" t="s">
        <v>8</v>
      </c>
      <c r="E5" s="790">
        <f>'[1]Salary Detail'!E6</f>
        <v>0</v>
      </c>
      <c r="F5" s="789"/>
      <c r="G5" s="788"/>
      <c r="H5" s="788"/>
      <c r="I5" s="764"/>
      <c r="J5" s="764"/>
      <c r="K5" s="764"/>
      <c r="L5" s="764"/>
      <c r="M5" s="764"/>
      <c r="N5" s="764"/>
    </row>
    <row r="6" spans="1:25" ht="16.7" hidden="1" customHeight="1" x14ac:dyDescent="0.2">
      <c r="D6" s="791" t="s">
        <v>122</v>
      </c>
      <c r="E6" s="790">
        <f>'[1]Salary Detail'!E7</f>
        <v>0</v>
      </c>
      <c r="F6" s="789"/>
      <c r="G6" s="789"/>
      <c r="H6" s="788"/>
      <c r="I6" s="764"/>
      <c r="J6" s="764"/>
      <c r="K6" s="764"/>
      <c r="L6" s="764"/>
      <c r="M6" s="764"/>
      <c r="N6" s="764"/>
    </row>
    <row r="7" spans="1:25" ht="16.7" hidden="1" customHeight="1" x14ac:dyDescent="0.2">
      <c r="A7" s="764"/>
      <c r="B7" s="764"/>
      <c r="C7" s="764"/>
      <c r="D7" s="763" t="s">
        <v>10</v>
      </c>
      <c r="E7" s="790">
        <f>'[1]Salary Detail'!E8</f>
        <v>0</v>
      </c>
      <c r="F7" s="789"/>
      <c r="G7" s="788"/>
      <c r="H7" s="788"/>
      <c r="I7" s="764"/>
      <c r="J7" s="764"/>
      <c r="K7" s="764"/>
      <c r="L7" s="764"/>
      <c r="M7" s="764"/>
      <c r="N7" s="764"/>
    </row>
    <row r="8" spans="1:25" ht="16.7" hidden="1" customHeight="1" x14ac:dyDescent="0.2">
      <c r="A8" s="764"/>
      <c r="B8" s="764"/>
      <c r="C8" s="764"/>
      <c r="D8" s="763" t="s">
        <v>182</v>
      </c>
      <c r="E8" s="787">
        <f>ROUNDUP(totalyrs,0)</f>
        <v>6</v>
      </c>
      <c r="G8" s="764"/>
      <c r="H8" s="764"/>
      <c r="I8" s="764"/>
      <c r="J8" s="764"/>
      <c r="K8" s="764"/>
      <c r="L8" s="764"/>
      <c r="M8" s="764"/>
      <c r="N8" s="764"/>
    </row>
    <row r="9" spans="1:25" ht="16.7" hidden="1" customHeight="1" x14ac:dyDescent="0.2">
      <c r="A9" s="764"/>
      <c r="B9" s="764"/>
      <c r="C9" s="764"/>
      <c r="D9" s="763" t="s">
        <v>139</v>
      </c>
      <c r="E9" s="786">
        <v>100000000</v>
      </c>
      <c r="F9" s="764" t="s">
        <v>195</v>
      </c>
      <c r="H9" s="764"/>
      <c r="I9" s="764"/>
      <c r="J9" s="764"/>
      <c r="K9" s="764"/>
      <c r="L9" s="764"/>
      <c r="M9" s="764"/>
      <c r="N9" s="764"/>
    </row>
    <row r="10" spans="1:25" x14ac:dyDescent="0.2">
      <c r="A10" s="764"/>
      <c r="B10" s="764"/>
      <c r="C10" s="764"/>
      <c r="D10" s="764"/>
      <c r="E10" s="764"/>
      <c r="F10" s="764"/>
      <c r="G10" s="764"/>
      <c r="H10" s="764"/>
      <c r="I10" s="764"/>
      <c r="J10" s="764"/>
      <c r="L10" s="784"/>
      <c r="M10" s="784"/>
      <c r="N10" s="784"/>
      <c r="O10" s="784"/>
      <c r="P10" s="950" t="s">
        <v>98</v>
      </c>
      <c r="Q10" s="950"/>
      <c r="R10" s="950"/>
      <c r="S10" s="950"/>
      <c r="T10" s="950"/>
      <c r="U10" s="950"/>
      <c r="V10" s="950"/>
      <c r="W10" s="950"/>
      <c r="X10" s="950"/>
    </row>
    <row r="11" spans="1:25" x14ac:dyDescent="0.2">
      <c r="A11" s="764"/>
      <c r="B11" s="764"/>
      <c r="C11" s="764"/>
      <c r="D11" s="764"/>
      <c r="E11" s="764"/>
      <c r="F11" s="764"/>
      <c r="G11" s="764"/>
      <c r="H11" s="764"/>
      <c r="I11" s="764"/>
      <c r="J11" s="764"/>
      <c r="K11" s="785"/>
      <c r="L11" s="764"/>
      <c r="M11" s="764"/>
      <c r="N11" s="764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775"/>
    </row>
    <row r="12" spans="1:25" x14ac:dyDescent="0.2">
      <c r="A12" s="764"/>
      <c r="B12" s="764"/>
      <c r="C12" s="764"/>
      <c r="D12" s="764"/>
      <c r="E12" s="764"/>
      <c r="F12" s="764"/>
      <c r="G12" s="764"/>
      <c r="H12" s="764"/>
      <c r="I12" s="764"/>
      <c r="J12" s="764"/>
      <c r="L12" s="784"/>
      <c r="M12" s="784"/>
      <c r="N12" s="784"/>
      <c r="O12" s="801"/>
      <c r="P12" s="951" t="s">
        <v>99</v>
      </c>
      <c r="Q12" s="951"/>
      <c r="R12" s="951"/>
      <c r="S12" s="951"/>
      <c r="T12" s="951"/>
      <c r="U12" s="951"/>
      <c r="V12" s="951"/>
      <c r="W12" s="951"/>
      <c r="X12" s="951"/>
      <c r="Y12" s="775"/>
    </row>
    <row r="13" spans="1:25" x14ac:dyDescent="0.2">
      <c r="A13" s="764"/>
      <c r="B13" s="764"/>
      <c r="C13" s="764"/>
      <c r="D13" s="948" t="s">
        <v>197</v>
      </c>
      <c r="E13" s="949"/>
      <c r="F13" s="949"/>
      <c r="G13" s="949"/>
      <c r="H13" s="949"/>
      <c r="I13" s="949"/>
      <c r="J13" s="949"/>
      <c r="K13" s="949"/>
      <c r="L13" s="949"/>
      <c r="M13" s="949"/>
      <c r="N13" s="764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</row>
    <row r="14" spans="1:25" x14ac:dyDescent="0.2">
      <c r="A14" s="783"/>
      <c r="B14" s="783"/>
      <c r="C14" s="782" t="s">
        <v>196</v>
      </c>
      <c r="D14" s="781">
        <v>1</v>
      </c>
      <c r="E14" s="781">
        <v>2</v>
      </c>
      <c r="F14" s="781">
        <v>3</v>
      </c>
      <c r="G14" s="781">
        <v>4</v>
      </c>
      <c r="H14" s="781">
        <v>5</v>
      </c>
      <c r="I14" s="781">
        <v>6</v>
      </c>
      <c r="J14" s="781">
        <v>7</v>
      </c>
      <c r="K14" s="781">
        <v>8</v>
      </c>
      <c r="L14" s="781">
        <v>9</v>
      </c>
      <c r="M14" s="781">
        <v>10</v>
      </c>
      <c r="N14" s="781" t="s">
        <v>46</v>
      </c>
      <c r="O14" s="802" t="s">
        <v>193</v>
      </c>
      <c r="P14" s="803" t="s">
        <v>94</v>
      </c>
      <c r="Q14" s="803" t="s">
        <v>95</v>
      </c>
      <c r="R14" s="803" t="s">
        <v>96</v>
      </c>
      <c r="S14" s="803" t="s">
        <v>97</v>
      </c>
      <c r="T14" s="803" t="s">
        <v>160</v>
      </c>
      <c r="U14" s="803" t="s">
        <v>161</v>
      </c>
      <c r="V14" s="803" t="s">
        <v>162</v>
      </c>
      <c r="W14" s="803" t="s">
        <v>163</v>
      </c>
      <c r="X14" s="803" t="s">
        <v>164</v>
      </c>
      <c r="Y14" s="775"/>
    </row>
    <row r="15" spans="1:25" ht="15.75" customHeight="1" x14ac:dyDescent="0.2">
      <c r="A15" s="780" t="s">
        <v>56</v>
      </c>
      <c r="B15" s="777"/>
      <c r="C15" s="779" t="s">
        <v>352</v>
      </c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36">
        <f t="shared" ref="N15:N59" si="0">SUM(D15:M15)</f>
        <v>0</v>
      </c>
      <c r="O15" s="804">
        <f>D15+D16+M71</f>
        <v>0</v>
      </c>
      <c r="P15" s="805">
        <f>O15+(E15+E16)</f>
        <v>0</v>
      </c>
      <c r="Q15" s="805">
        <f t="shared" ref="Q15:X15" si="1">(F15+F16)+P15</f>
        <v>0</v>
      </c>
      <c r="R15" s="805">
        <f t="shared" si="1"/>
        <v>0</v>
      </c>
      <c r="S15" s="805">
        <f t="shared" si="1"/>
        <v>0</v>
      </c>
      <c r="T15" s="805">
        <f t="shared" si="1"/>
        <v>0</v>
      </c>
      <c r="U15" s="805">
        <f t="shared" si="1"/>
        <v>0</v>
      </c>
      <c r="V15" s="805">
        <f t="shared" si="1"/>
        <v>0</v>
      </c>
      <c r="W15" s="805">
        <f t="shared" si="1"/>
        <v>0</v>
      </c>
      <c r="X15" s="805">
        <f t="shared" si="1"/>
        <v>0</v>
      </c>
      <c r="Y15" s="775"/>
    </row>
    <row r="16" spans="1:25" ht="15.75" customHeight="1" x14ac:dyDescent="0.2">
      <c r="A16" s="778" t="s">
        <v>28</v>
      </c>
      <c r="B16" s="800"/>
      <c r="C16" s="776" t="s">
        <v>353</v>
      </c>
      <c r="D16" s="524">
        <f>+D15*(B16*0.01)</f>
        <v>0</v>
      </c>
      <c r="E16" s="524">
        <f>+E15*(B16*0.01)</f>
        <v>0</v>
      </c>
      <c r="F16" s="524">
        <f>+F15*(B16*0.01)</f>
        <v>0</v>
      </c>
      <c r="G16" s="524">
        <f>+G15*(B16*0.01)</f>
        <v>0</v>
      </c>
      <c r="H16" s="524">
        <f>+H15*(B16*0.01)</f>
        <v>0</v>
      </c>
      <c r="I16" s="524">
        <f>+I15*(B16*0.01)</f>
        <v>0</v>
      </c>
      <c r="J16" s="524">
        <f>+J15*($B$16*0.01)</f>
        <v>0</v>
      </c>
      <c r="K16" s="524">
        <f t="shared" ref="K16:M16" si="2">+K15*($B$16*0.01)</f>
        <v>0</v>
      </c>
      <c r="L16" s="524">
        <f t="shared" si="2"/>
        <v>0</v>
      </c>
      <c r="M16" s="524">
        <f t="shared" si="2"/>
        <v>0</v>
      </c>
      <c r="N16" s="37">
        <f t="shared" si="0"/>
        <v>0</v>
      </c>
      <c r="O16" s="804"/>
      <c r="P16" s="805"/>
      <c r="Q16" s="805"/>
      <c r="R16" s="805"/>
      <c r="S16" s="805"/>
      <c r="T16" s="805"/>
      <c r="U16" s="805"/>
      <c r="V16" s="805"/>
      <c r="W16" s="805"/>
      <c r="X16" s="805"/>
      <c r="Y16" s="775"/>
    </row>
    <row r="17" spans="1:25" ht="15.75" customHeight="1" x14ac:dyDescent="0.2">
      <c r="A17" s="774"/>
      <c r="B17" s="773"/>
      <c r="C17" s="772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806"/>
      <c r="P17" s="806"/>
      <c r="Q17" s="806"/>
      <c r="R17" s="806"/>
      <c r="S17" s="806"/>
      <c r="T17" s="775"/>
      <c r="U17" s="775"/>
      <c r="V17" s="775"/>
      <c r="W17" s="775"/>
      <c r="X17" s="775"/>
      <c r="Y17" s="775"/>
    </row>
    <row r="18" spans="1:25" ht="15.75" customHeight="1" x14ac:dyDescent="0.2">
      <c r="A18" s="780" t="s">
        <v>100</v>
      </c>
      <c r="B18" s="777"/>
      <c r="C18" s="779" t="s">
        <v>352</v>
      </c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36">
        <f t="shared" si="0"/>
        <v>0</v>
      </c>
      <c r="O18" s="806">
        <f>(D18+D19)+M72</f>
        <v>0</v>
      </c>
      <c r="P18" s="806">
        <f>O18+(E18+E19)</f>
        <v>0</v>
      </c>
      <c r="Q18" s="806">
        <f t="shared" ref="Q18:X18" si="3">(F18+F19)+P18</f>
        <v>0</v>
      </c>
      <c r="R18" s="806">
        <f t="shared" si="3"/>
        <v>0</v>
      </c>
      <c r="S18" s="806">
        <f t="shared" si="3"/>
        <v>0</v>
      </c>
      <c r="T18" s="806">
        <f t="shared" si="3"/>
        <v>0</v>
      </c>
      <c r="U18" s="806">
        <f t="shared" si="3"/>
        <v>0</v>
      </c>
      <c r="V18" s="806">
        <f t="shared" si="3"/>
        <v>0</v>
      </c>
      <c r="W18" s="806">
        <f t="shared" si="3"/>
        <v>0</v>
      </c>
      <c r="X18" s="806">
        <f t="shared" si="3"/>
        <v>0</v>
      </c>
      <c r="Y18" s="775"/>
    </row>
    <row r="19" spans="1:25" ht="15.75" customHeight="1" x14ac:dyDescent="0.2">
      <c r="A19" s="778" t="s">
        <v>28</v>
      </c>
      <c r="B19" s="800"/>
      <c r="C19" s="776" t="s">
        <v>353</v>
      </c>
      <c r="D19" s="524">
        <f>+D18*($B$19*0.01)</f>
        <v>0</v>
      </c>
      <c r="E19" s="524">
        <f t="shared" ref="E19:M19" si="4">+E18*($B$19*0.01)</f>
        <v>0</v>
      </c>
      <c r="F19" s="524">
        <f t="shared" si="4"/>
        <v>0</v>
      </c>
      <c r="G19" s="524">
        <f t="shared" si="4"/>
        <v>0</v>
      </c>
      <c r="H19" s="524">
        <f t="shared" si="4"/>
        <v>0</v>
      </c>
      <c r="I19" s="524">
        <f t="shared" si="4"/>
        <v>0</v>
      </c>
      <c r="J19" s="524">
        <f t="shared" si="4"/>
        <v>0</v>
      </c>
      <c r="K19" s="524">
        <f t="shared" si="4"/>
        <v>0</v>
      </c>
      <c r="L19" s="524">
        <f t="shared" si="4"/>
        <v>0</v>
      </c>
      <c r="M19" s="524">
        <f t="shared" si="4"/>
        <v>0</v>
      </c>
      <c r="N19" s="37">
        <f t="shared" si="0"/>
        <v>0</v>
      </c>
      <c r="O19" s="806"/>
      <c r="P19" s="806"/>
      <c r="Q19" s="806"/>
      <c r="R19" s="806"/>
      <c r="S19" s="806"/>
      <c r="T19" s="806"/>
      <c r="U19" s="806"/>
      <c r="V19" s="806"/>
      <c r="W19" s="806"/>
      <c r="X19" s="806"/>
      <c r="Y19" s="775"/>
    </row>
    <row r="20" spans="1:25" ht="15.75" customHeight="1" x14ac:dyDescent="0.2">
      <c r="A20" s="774"/>
      <c r="B20" s="773"/>
      <c r="C20" s="772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806"/>
      <c r="P20" s="806"/>
      <c r="Q20" s="806"/>
      <c r="R20" s="806"/>
      <c r="S20" s="806"/>
      <c r="T20" s="775"/>
      <c r="U20" s="775"/>
      <c r="V20" s="775"/>
      <c r="W20" s="775"/>
      <c r="X20" s="775"/>
      <c r="Y20" s="775"/>
    </row>
    <row r="21" spans="1:25" ht="15.75" customHeight="1" x14ac:dyDescent="0.2">
      <c r="A21" s="780" t="s">
        <v>101</v>
      </c>
      <c r="B21" s="777"/>
      <c r="C21" s="779" t="s">
        <v>352</v>
      </c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36">
        <f t="shared" si="0"/>
        <v>0</v>
      </c>
      <c r="O21" s="806">
        <f>D21+D22+M73</f>
        <v>0</v>
      </c>
      <c r="P21" s="806">
        <f>O21+(E21+E22)</f>
        <v>0</v>
      </c>
      <c r="Q21" s="806">
        <f t="shared" ref="Q21:X21" si="5">(F21+F22)+P21</f>
        <v>0</v>
      </c>
      <c r="R21" s="806">
        <f t="shared" si="5"/>
        <v>0</v>
      </c>
      <c r="S21" s="806">
        <f t="shared" si="5"/>
        <v>0</v>
      </c>
      <c r="T21" s="806">
        <f t="shared" si="5"/>
        <v>0</v>
      </c>
      <c r="U21" s="806">
        <f t="shared" si="5"/>
        <v>0</v>
      </c>
      <c r="V21" s="806">
        <f t="shared" si="5"/>
        <v>0</v>
      </c>
      <c r="W21" s="806">
        <f t="shared" si="5"/>
        <v>0</v>
      </c>
      <c r="X21" s="806">
        <f t="shared" si="5"/>
        <v>0</v>
      </c>
      <c r="Y21" s="775"/>
    </row>
    <row r="22" spans="1:25" ht="15.75" customHeight="1" x14ac:dyDescent="0.2">
      <c r="A22" s="778" t="s">
        <v>28</v>
      </c>
      <c r="B22" s="800"/>
      <c r="C22" s="776" t="s">
        <v>353</v>
      </c>
      <c r="D22" s="524">
        <f>+D21*($B$22*0.01)</f>
        <v>0</v>
      </c>
      <c r="E22" s="524">
        <f t="shared" ref="E22:M22" si="6">+E21*($B$22*0.01)</f>
        <v>0</v>
      </c>
      <c r="F22" s="524">
        <f t="shared" si="6"/>
        <v>0</v>
      </c>
      <c r="G22" s="524">
        <f t="shared" si="6"/>
        <v>0</v>
      </c>
      <c r="H22" s="524">
        <f t="shared" si="6"/>
        <v>0</v>
      </c>
      <c r="I22" s="524">
        <f t="shared" si="6"/>
        <v>0</v>
      </c>
      <c r="J22" s="524">
        <f t="shared" si="6"/>
        <v>0</v>
      </c>
      <c r="K22" s="524">
        <f t="shared" si="6"/>
        <v>0</v>
      </c>
      <c r="L22" s="524">
        <f t="shared" si="6"/>
        <v>0</v>
      </c>
      <c r="M22" s="524">
        <f t="shared" si="6"/>
        <v>0</v>
      </c>
      <c r="N22" s="37">
        <f t="shared" si="0"/>
        <v>0</v>
      </c>
      <c r="O22" s="806"/>
      <c r="P22" s="806"/>
      <c r="Q22" s="806"/>
      <c r="R22" s="806"/>
      <c r="S22" s="806"/>
      <c r="T22" s="806"/>
      <c r="U22" s="806"/>
      <c r="V22" s="806"/>
      <c r="W22" s="806"/>
      <c r="X22" s="806"/>
      <c r="Y22" s="775"/>
    </row>
    <row r="23" spans="1:25" ht="15.75" customHeight="1" x14ac:dyDescent="0.2">
      <c r="A23" s="774"/>
      <c r="B23" s="773"/>
      <c r="C23" s="772" t="str">
        <f>+C20</f>
        <v>Adjustments to F&amp;A calculation:</v>
      </c>
      <c r="D23" s="32">
        <f>(MIN(0,IF(SUBLIMIT-((D21+D22)+M73)&lt;((D21+D22)-2*(D21+D22)),((D21+D22)-2*(D21+D22)),(SUBLIMIT-((D21+D22)+M73)))))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806"/>
      <c r="P23" s="806"/>
      <c r="Q23" s="806"/>
      <c r="R23" s="806"/>
      <c r="S23" s="806"/>
      <c r="T23" s="775"/>
      <c r="U23" s="775"/>
      <c r="V23" s="775"/>
      <c r="W23" s="775"/>
      <c r="X23" s="775"/>
      <c r="Y23" s="775"/>
    </row>
    <row r="24" spans="1:25" ht="15.75" customHeight="1" x14ac:dyDescent="0.2">
      <c r="A24" s="780" t="s">
        <v>102</v>
      </c>
      <c r="B24" s="777"/>
      <c r="C24" s="779" t="s">
        <v>352</v>
      </c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36">
        <f t="shared" si="0"/>
        <v>0</v>
      </c>
      <c r="O24" s="806">
        <f>D24+D25+M74</f>
        <v>0</v>
      </c>
      <c r="P24" s="806">
        <f>O24+(E24+E25)</f>
        <v>0</v>
      </c>
      <c r="Q24" s="806">
        <f t="shared" ref="Q24:X24" si="7">(F24+F25)+P24</f>
        <v>0</v>
      </c>
      <c r="R24" s="806">
        <f t="shared" si="7"/>
        <v>0</v>
      </c>
      <c r="S24" s="806">
        <f t="shared" si="7"/>
        <v>0</v>
      </c>
      <c r="T24" s="806">
        <f t="shared" si="7"/>
        <v>0</v>
      </c>
      <c r="U24" s="806">
        <f t="shared" si="7"/>
        <v>0</v>
      </c>
      <c r="V24" s="806">
        <f t="shared" si="7"/>
        <v>0</v>
      </c>
      <c r="W24" s="806">
        <f t="shared" si="7"/>
        <v>0</v>
      </c>
      <c r="X24" s="806">
        <f t="shared" si="7"/>
        <v>0</v>
      </c>
      <c r="Y24" s="775"/>
    </row>
    <row r="25" spans="1:25" ht="15.75" customHeight="1" x14ac:dyDescent="0.2">
      <c r="A25" s="778" t="s">
        <v>28</v>
      </c>
      <c r="B25" s="800"/>
      <c r="C25" s="776" t="s">
        <v>353</v>
      </c>
      <c r="D25" s="524">
        <f>+D24*($B$25*0.01)</f>
        <v>0</v>
      </c>
      <c r="E25" s="524">
        <f t="shared" ref="E25:M25" si="8">+E24*($B$25*0.01)</f>
        <v>0</v>
      </c>
      <c r="F25" s="524">
        <f t="shared" si="8"/>
        <v>0</v>
      </c>
      <c r="G25" s="524">
        <f t="shared" si="8"/>
        <v>0</v>
      </c>
      <c r="H25" s="524">
        <f t="shared" si="8"/>
        <v>0</v>
      </c>
      <c r="I25" s="524">
        <f t="shared" si="8"/>
        <v>0</v>
      </c>
      <c r="J25" s="524">
        <f t="shared" si="8"/>
        <v>0</v>
      </c>
      <c r="K25" s="524">
        <f t="shared" si="8"/>
        <v>0</v>
      </c>
      <c r="L25" s="524">
        <f t="shared" si="8"/>
        <v>0</v>
      </c>
      <c r="M25" s="524">
        <f t="shared" si="8"/>
        <v>0</v>
      </c>
      <c r="N25" s="37">
        <f t="shared" si="0"/>
        <v>0</v>
      </c>
      <c r="O25" s="806"/>
      <c r="P25" s="806"/>
      <c r="Q25" s="806"/>
      <c r="R25" s="806"/>
      <c r="S25" s="806"/>
      <c r="T25" s="806"/>
      <c r="U25" s="806"/>
      <c r="V25" s="806"/>
      <c r="W25" s="806"/>
      <c r="X25" s="806"/>
      <c r="Y25" s="775"/>
    </row>
    <row r="26" spans="1:25" ht="15.75" customHeight="1" x14ac:dyDescent="0.2">
      <c r="A26" s="774"/>
      <c r="B26" s="773"/>
      <c r="C26" s="772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806"/>
      <c r="P26" s="806"/>
      <c r="Q26" s="806"/>
      <c r="R26" s="806"/>
      <c r="S26" s="806"/>
      <c r="T26" s="775"/>
      <c r="U26" s="775"/>
      <c r="V26" s="775"/>
      <c r="W26" s="775"/>
      <c r="X26" s="775"/>
      <c r="Y26" s="775"/>
    </row>
    <row r="27" spans="1:25" ht="15.75" customHeight="1" x14ac:dyDescent="0.2">
      <c r="A27" s="780" t="s">
        <v>103</v>
      </c>
      <c r="B27" s="777"/>
      <c r="C27" s="779" t="s">
        <v>352</v>
      </c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36">
        <f t="shared" si="0"/>
        <v>0</v>
      </c>
      <c r="O27" s="806">
        <f>D27+D28+M75</f>
        <v>0</v>
      </c>
      <c r="P27" s="806">
        <f>O27+(E27+E28)</f>
        <v>0</v>
      </c>
      <c r="Q27" s="806">
        <f t="shared" ref="Q27:X27" si="9">(F27+F28)+P27</f>
        <v>0</v>
      </c>
      <c r="R27" s="806">
        <f t="shared" si="9"/>
        <v>0</v>
      </c>
      <c r="S27" s="806">
        <f t="shared" si="9"/>
        <v>0</v>
      </c>
      <c r="T27" s="806">
        <f t="shared" si="9"/>
        <v>0</v>
      </c>
      <c r="U27" s="806">
        <f t="shared" si="9"/>
        <v>0</v>
      </c>
      <c r="V27" s="806">
        <f t="shared" si="9"/>
        <v>0</v>
      </c>
      <c r="W27" s="806">
        <f t="shared" si="9"/>
        <v>0</v>
      </c>
      <c r="X27" s="806">
        <f t="shared" si="9"/>
        <v>0</v>
      </c>
      <c r="Y27" s="775"/>
    </row>
    <row r="28" spans="1:25" ht="15.75" customHeight="1" x14ac:dyDescent="0.2">
      <c r="A28" s="778" t="s">
        <v>28</v>
      </c>
      <c r="B28" s="800"/>
      <c r="C28" s="776" t="s">
        <v>353</v>
      </c>
      <c r="D28" s="524">
        <f>+D27*($B$28*0.01)</f>
        <v>0</v>
      </c>
      <c r="E28" s="524">
        <f t="shared" ref="E28:M28" si="10">+E27*($B$28*0.01)</f>
        <v>0</v>
      </c>
      <c r="F28" s="524">
        <f t="shared" si="10"/>
        <v>0</v>
      </c>
      <c r="G28" s="524">
        <f t="shared" si="10"/>
        <v>0</v>
      </c>
      <c r="H28" s="524">
        <f t="shared" si="10"/>
        <v>0</v>
      </c>
      <c r="I28" s="524">
        <f t="shared" si="10"/>
        <v>0</v>
      </c>
      <c r="J28" s="524">
        <f t="shared" si="10"/>
        <v>0</v>
      </c>
      <c r="K28" s="524">
        <f t="shared" si="10"/>
        <v>0</v>
      </c>
      <c r="L28" s="524">
        <f t="shared" si="10"/>
        <v>0</v>
      </c>
      <c r="M28" s="524">
        <f t="shared" si="10"/>
        <v>0</v>
      </c>
      <c r="N28" s="37">
        <f t="shared" si="0"/>
        <v>0</v>
      </c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775"/>
    </row>
    <row r="29" spans="1:25" ht="15.75" customHeight="1" x14ac:dyDescent="0.2">
      <c r="A29" s="774"/>
      <c r="B29" s="773"/>
      <c r="C29" s="772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806"/>
      <c r="P29" s="806"/>
      <c r="Q29" s="806"/>
      <c r="R29" s="806"/>
      <c r="S29" s="806"/>
      <c r="T29" s="775"/>
      <c r="U29" s="775"/>
      <c r="V29" s="775"/>
      <c r="W29" s="775"/>
      <c r="X29" s="775"/>
      <c r="Y29" s="775"/>
    </row>
    <row r="30" spans="1:25" ht="15.75" customHeight="1" x14ac:dyDescent="0.2">
      <c r="A30" s="780" t="s">
        <v>57</v>
      </c>
      <c r="B30" s="777"/>
      <c r="C30" s="779" t="s">
        <v>436</v>
      </c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36">
        <f t="shared" si="0"/>
        <v>0</v>
      </c>
      <c r="O30" s="806">
        <f>D30+D31+M76</f>
        <v>0</v>
      </c>
      <c r="P30" s="806">
        <f>O30+(E30+E31)</f>
        <v>0</v>
      </c>
      <c r="Q30" s="806">
        <f t="shared" ref="Q30:X30" si="11">(F30+F31)+P30</f>
        <v>0</v>
      </c>
      <c r="R30" s="806">
        <f t="shared" si="11"/>
        <v>0</v>
      </c>
      <c r="S30" s="806">
        <f t="shared" si="11"/>
        <v>0</v>
      </c>
      <c r="T30" s="806">
        <f t="shared" si="11"/>
        <v>0</v>
      </c>
      <c r="U30" s="806">
        <f t="shared" si="11"/>
        <v>0</v>
      </c>
      <c r="V30" s="806">
        <f t="shared" si="11"/>
        <v>0</v>
      </c>
      <c r="W30" s="806">
        <f t="shared" si="11"/>
        <v>0</v>
      </c>
      <c r="X30" s="806">
        <f t="shared" si="11"/>
        <v>0</v>
      </c>
      <c r="Y30" s="775"/>
    </row>
    <row r="31" spans="1:25" ht="15.75" customHeight="1" x14ac:dyDescent="0.2">
      <c r="A31" s="778" t="s">
        <v>28</v>
      </c>
      <c r="B31" s="800"/>
      <c r="C31" s="776" t="s">
        <v>435</v>
      </c>
      <c r="D31" s="524">
        <f>+D30*($B$31*0.01)</f>
        <v>0</v>
      </c>
      <c r="E31" s="524">
        <f t="shared" ref="E31:M31" si="12">+E30*($B$31*0.01)</f>
        <v>0</v>
      </c>
      <c r="F31" s="524">
        <f t="shared" si="12"/>
        <v>0</v>
      </c>
      <c r="G31" s="524">
        <f t="shared" si="12"/>
        <v>0</v>
      </c>
      <c r="H31" s="524">
        <f t="shared" si="12"/>
        <v>0</v>
      </c>
      <c r="I31" s="524">
        <f t="shared" si="12"/>
        <v>0</v>
      </c>
      <c r="J31" s="524">
        <f t="shared" si="12"/>
        <v>0</v>
      </c>
      <c r="K31" s="524">
        <f t="shared" si="12"/>
        <v>0</v>
      </c>
      <c r="L31" s="524">
        <f t="shared" si="12"/>
        <v>0</v>
      </c>
      <c r="M31" s="524">
        <f t="shared" si="12"/>
        <v>0</v>
      </c>
      <c r="N31" s="37">
        <f t="shared" si="0"/>
        <v>0</v>
      </c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775"/>
    </row>
    <row r="32" spans="1:25" ht="15.75" customHeight="1" x14ac:dyDescent="0.2">
      <c r="A32" s="774"/>
      <c r="B32" s="773"/>
      <c r="C32" s="772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806"/>
      <c r="P32" s="806"/>
      <c r="Q32" s="806"/>
      <c r="R32" s="806"/>
      <c r="S32" s="806"/>
      <c r="T32" s="775"/>
      <c r="U32" s="775"/>
      <c r="V32" s="775"/>
      <c r="W32" s="775"/>
      <c r="X32" s="775"/>
      <c r="Y32" s="775"/>
    </row>
    <row r="33" spans="1:25" ht="15.75" customHeight="1" x14ac:dyDescent="0.2">
      <c r="A33" s="780" t="s">
        <v>104</v>
      </c>
      <c r="B33" s="777"/>
      <c r="C33" s="779" t="s">
        <v>436</v>
      </c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36">
        <f t="shared" si="0"/>
        <v>0</v>
      </c>
      <c r="O33" s="806">
        <f>D33+D34+M77</f>
        <v>0</v>
      </c>
      <c r="P33" s="806">
        <f>O33+(E33+E34)</f>
        <v>0</v>
      </c>
      <c r="Q33" s="806">
        <f t="shared" ref="Q33:X33" si="13">(F33+F34)+P33</f>
        <v>0</v>
      </c>
      <c r="R33" s="806">
        <f t="shared" si="13"/>
        <v>0</v>
      </c>
      <c r="S33" s="806">
        <f t="shared" si="13"/>
        <v>0</v>
      </c>
      <c r="T33" s="806">
        <f t="shared" si="13"/>
        <v>0</v>
      </c>
      <c r="U33" s="806">
        <f t="shared" si="13"/>
        <v>0</v>
      </c>
      <c r="V33" s="806">
        <f t="shared" si="13"/>
        <v>0</v>
      </c>
      <c r="W33" s="806">
        <f t="shared" si="13"/>
        <v>0</v>
      </c>
      <c r="X33" s="806">
        <f t="shared" si="13"/>
        <v>0</v>
      </c>
      <c r="Y33" s="775"/>
    </row>
    <row r="34" spans="1:25" ht="15.75" customHeight="1" x14ac:dyDescent="0.2">
      <c r="A34" s="778" t="s">
        <v>28</v>
      </c>
      <c r="B34" s="800"/>
      <c r="C34" s="776" t="s">
        <v>435</v>
      </c>
      <c r="D34" s="524">
        <f>+D33*($B$34*0.01)</f>
        <v>0</v>
      </c>
      <c r="E34" s="524">
        <f t="shared" ref="E34:M34" si="14">+E33*($B$34*0.01)</f>
        <v>0</v>
      </c>
      <c r="F34" s="524">
        <f t="shared" si="14"/>
        <v>0</v>
      </c>
      <c r="G34" s="524">
        <f t="shared" si="14"/>
        <v>0</v>
      </c>
      <c r="H34" s="524">
        <f t="shared" si="14"/>
        <v>0</v>
      </c>
      <c r="I34" s="524">
        <f t="shared" si="14"/>
        <v>0</v>
      </c>
      <c r="J34" s="524">
        <f t="shared" si="14"/>
        <v>0</v>
      </c>
      <c r="K34" s="524">
        <f t="shared" si="14"/>
        <v>0</v>
      </c>
      <c r="L34" s="524">
        <f t="shared" si="14"/>
        <v>0</v>
      </c>
      <c r="M34" s="524">
        <f t="shared" si="14"/>
        <v>0</v>
      </c>
      <c r="N34" s="37">
        <f t="shared" si="0"/>
        <v>0</v>
      </c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775"/>
    </row>
    <row r="35" spans="1:25" ht="15.75" customHeight="1" x14ac:dyDescent="0.2">
      <c r="A35" s="774"/>
      <c r="B35" s="773"/>
      <c r="C35" s="772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806"/>
      <c r="P35" s="806"/>
      <c r="Q35" s="806"/>
      <c r="R35" s="806"/>
      <c r="S35" s="806"/>
      <c r="T35" s="775"/>
      <c r="U35" s="775"/>
      <c r="V35" s="775"/>
      <c r="W35" s="775"/>
      <c r="X35" s="775"/>
      <c r="Y35" s="775"/>
    </row>
    <row r="36" spans="1:25" ht="15.75" customHeight="1" x14ac:dyDescent="0.2">
      <c r="A36" s="780" t="s">
        <v>359</v>
      </c>
      <c r="B36" s="777"/>
      <c r="C36" s="779" t="s">
        <v>436</v>
      </c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36">
        <f t="shared" si="0"/>
        <v>0</v>
      </c>
      <c r="O36" s="806">
        <f>D36+D37+M78</f>
        <v>0</v>
      </c>
      <c r="P36" s="806">
        <f>O36+(E36+E37)</f>
        <v>0</v>
      </c>
      <c r="Q36" s="806">
        <f t="shared" ref="Q36:X36" si="15">(F36+F37)+P36</f>
        <v>0</v>
      </c>
      <c r="R36" s="806">
        <f t="shared" si="15"/>
        <v>0</v>
      </c>
      <c r="S36" s="806">
        <f t="shared" si="15"/>
        <v>0</v>
      </c>
      <c r="T36" s="806">
        <f t="shared" si="15"/>
        <v>0</v>
      </c>
      <c r="U36" s="806">
        <f t="shared" si="15"/>
        <v>0</v>
      </c>
      <c r="V36" s="806">
        <f t="shared" si="15"/>
        <v>0</v>
      </c>
      <c r="W36" s="806">
        <f t="shared" si="15"/>
        <v>0</v>
      </c>
      <c r="X36" s="806">
        <f t="shared" si="15"/>
        <v>0</v>
      </c>
      <c r="Y36" s="775"/>
    </row>
    <row r="37" spans="1:25" ht="15.75" customHeight="1" x14ac:dyDescent="0.2">
      <c r="A37" s="778" t="s">
        <v>28</v>
      </c>
      <c r="B37" s="800"/>
      <c r="C37" s="776" t="s">
        <v>435</v>
      </c>
      <c r="D37" s="524">
        <f>+D36*($B$37*0.01)</f>
        <v>0</v>
      </c>
      <c r="E37" s="524">
        <f t="shared" ref="E37:M37" si="16">+E36*($B$37*0.01)</f>
        <v>0</v>
      </c>
      <c r="F37" s="524">
        <f t="shared" si="16"/>
        <v>0</v>
      </c>
      <c r="G37" s="524">
        <f t="shared" si="16"/>
        <v>0</v>
      </c>
      <c r="H37" s="524">
        <f t="shared" si="16"/>
        <v>0</v>
      </c>
      <c r="I37" s="524">
        <f t="shared" si="16"/>
        <v>0</v>
      </c>
      <c r="J37" s="524">
        <f t="shared" si="16"/>
        <v>0</v>
      </c>
      <c r="K37" s="524">
        <f t="shared" si="16"/>
        <v>0</v>
      </c>
      <c r="L37" s="524">
        <f t="shared" si="16"/>
        <v>0</v>
      </c>
      <c r="M37" s="524">
        <f t="shared" si="16"/>
        <v>0</v>
      </c>
      <c r="N37" s="37">
        <f t="shared" si="0"/>
        <v>0</v>
      </c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775"/>
    </row>
    <row r="38" spans="1:25" ht="15.75" customHeight="1" x14ac:dyDescent="0.2">
      <c r="A38" s="774"/>
      <c r="B38" s="773"/>
      <c r="C38" s="772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806"/>
      <c r="P38" s="806"/>
      <c r="Q38" s="806"/>
      <c r="R38" s="806"/>
      <c r="S38" s="806"/>
      <c r="T38" s="775"/>
      <c r="U38" s="775"/>
      <c r="V38" s="775"/>
      <c r="W38" s="775"/>
      <c r="X38" s="775"/>
      <c r="Y38" s="775"/>
    </row>
    <row r="39" spans="1:25" ht="15.75" customHeight="1" x14ac:dyDescent="0.2">
      <c r="A39" s="780" t="s">
        <v>360</v>
      </c>
      <c r="B39" s="777"/>
      <c r="C39" s="779" t="s">
        <v>436</v>
      </c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36">
        <f t="shared" si="0"/>
        <v>0</v>
      </c>
      <c r="O39" s="806">
        <f>(D39+D40)+M79</f>
        <v>0</v>
      </c>
      <c r="P39" s="806">
        <f>O39+(E39+E40)</f>
        <v>0</v>
      </c>
      <c r="Q39" s="806">
        <f t="shared" ref="Q39:X39" si="17">(F39+F40)+P39</f>
        <v>0</v>
      </c>
      <c r="R39" s="806">
        <f t="shared" si="17"/>
        <v>0</v>
      </c>
      <c r="S39" s="806">
        <f t="shared" si="17"/>
        <v>0</v>
      </c>
      <c r="T39" s="806">
        <f t="shared" si="17"/>
        <v>0</v>
      </c>
      <c r="U39" s="806">
        <f t="shared" si="17"/>
        <v>0</v>
      </c>
      <c r="V39" s="806">
        <f t="shared" si="17"/>
        <v>0</v>
      </c>
      <c r="W39" s="806">
        <f t="shared" si="17"/>
        <v>0</v>
      </c>
      <c r="X39" s="806">
        <f t="shared" si="17"/>
        <v>0</v>
      </c>
      <c r="Y39" s="775"/>
    </row>
    <row r="40" spans="1:25" ht="15.75" customHeight="1" x14ac:dyDescent="0.2">
      <c r="A40" s="778" t="s">
        <v>28</v>
      </c>
      <c r="B40" s="800"/>
      <c r="C40" s="776" t="s">
        <v>435</v>
      </c>
      <c r="D40" s="524">
        <f>+D39*($B$40*0.01)</f>
        <v>0</v>
      </c>
      <c r="E40" s="524">
        <f t="shared" ref="E40:M40" si="18">+E39*($B$40*0.01)</f>
        <v>0</v>
      </c>
      <c r="F40" s="524">
        <f t="shared" si="18"/>
        <v>0</v>
      </c>
      <c r="G40" s="524">
        <f t="shared" si="18"/>
        <v>0</v>
      </c>
      <c r="H40" s="524">
        <f t="shared" si="18"/>
        <v>0</v>
      </c>
      <c r="I40" s="524">
        <f t="shared" si="18"/>
        <v>0</v>
      </c>
      <c r="J40" s="524">
        <f t="shared" si="18"/>
        <v>0</v>
      </c>
      <c r="K40" s="524">
        <f t="shared" si="18"/>
        <v>0</v>
      </c>
      <c r="L40" s="524">
        <f t="shared" si="18"/>
        <v>0</v>
      </c>
      <c r="M40" s="524">
        <f t="shared" si="18"/>
        <v>0</v>
      </c>
      <c r="N40" s="37">
        <f t="shared" si="0"/>
        <v>0</v>
      </c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775"/>
    </row>
    <row r="41" spans="1:25" ht="15.75" customHeight="1" x14ac:dyDescent="0.2">
      <c r="A41" s="774"/>
      <c r="B41" s="773"/>
      <c r="C41" s="772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806"/>
      <c r="P41" s="806"/>
      <c r="Q41" s="806"/>
      <c r="R41" s="806"/>
      <c r="S41" s="806"/>
      <c r="T41" s="775"/>
      <c r="U41" s="775"/>
      <c r="V41" s="775"/>
      <c r="W41" s="775"/>
      <c r="X41" s="775"/>
      <c r="Y41" s="775"/>
    </row>
    <row r="42" spans="1:25" ht="15.75" customHeight="1" x14ac:dyDescent="0.2">
      <c r="A42" s="780" t="s">
        <v>361</v>
      </c>
      <c r="B42" s="777"/>
      <c r="C42" s="779" t="s">
        <v>436</v>
      </c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36">
        <f t="shared" si="0"/>
        <v>0</v>
      </c>
      <c r="O42" s="806">
        <f>D42+D43+M80</f>
        <v>0</v>
      </c>
      <c r="P42" s="806">
        <f>O42+(E42+E43)</f>
        <v>0</v>
      </c>
      <c r="Q42" s="806">
        <f t="shared" ref="Q42:X42" si="19">(F42+F43)+P42</f>
        <v>0</v>
      </c>
      <c r="R42" s="806">
        <f t="shared" si="19"/>
        <v>0</v>
      </c>
      <c r="S42" s="806">
        <f t="shared" si="19"/>
        <v>0</v>
      </c>
      <c r="T42" s="806">
        <f t="shared" si="19"/>
        <v>0</v>
      </c>
      <c r="U42" s="806">
        <f t="shared" si="19"/>
        <v>0</v>
      </c>
      <c r="V42" s="806">
        <f t="shared" si="19"/>
        <v>0</v>
      </c>
      <c r="W42" s="806">
        <f t="shared" si="19"/>
        <v>0</v>
      </c>
      <c r="X42" s="806">
        <f t="shared" si="19"/>
        <v>0</v>
      </c>
      <c r="Y42" s="775"/>
    </row>
    <row r="43" spans="1:25" ht="15.75" customHeight="1" x14ac:dyDescent="0.2">
      <c r="A43" s="778" t="s">
        <v>28</v>
      </c>
      <c r="B43" s="800"/>
      <c r="C43" s="776" t="s">
        <v>435</v>
      </c>
      <c r="D43" s="524">
        <f>+D42*($B$43*0.01)</f>
        <v>0</v>
      </c>
      <c r="E43" s="524">
        <f t="shared" ref="E43:M43" si="20">+E42*($B$43*0.01)</f>
        <v>0</v>
      </c>
      <c r="F43" s="524">
        <f t="shared" si="20"/>
        <v>0</v>
      </c>
      <c r="G43" s="524">
        <f t="shared" si="20"/>
        <v>0</v>
      </c>
      <c r="H43" s="524">
        <f t="shared" si="20"/>
        <v>0</v>
      </c>
      <c r="I43" s="524">
        <f t="shared" si="20"/>
        <v>0</v>
      </c>
      <c r="J43" s="524">
        <f t="shared" si="20"/>
        <v>0</v>
      </c>
      <c r="K43" s="524">
        <f t="shared" si="20"/>
        <v>0</v>
      </c>
      <c r="L43" s="524">
        <f t="shared" si="20"/>
        <v>0</v>
      </c>
      <c r="M43" s="524">
        <f t="shared" si="20"/>
        <v>0</v>
      </c>
      <c r="N43" s="37">
        <f t="shared" si="0"/>
        <v>0</v>
      </c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775"/>
    </row>
    <row r="44" spans="1:25" ht="15.75" customHeight="1" x14ac:dyDescent="0.2">
      <c r="A44" s="774"/>
      <c r="B44" s="773"/>
      <c r="C44" s="772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806"/>
      <c r="P44" s="806"/>
      <c r="Q44" s="806"/>
      <c r="R44" s="806"/>
      <c r="S44" s="806"/>
      <c r="T44" s="775"/>
      <c r="U44" s="775"/>
      <c r="V44" s="775"/>
      <c r="W44" s="775"/>
      <c r="X44" s="775"/>
      <c r="Y44" s="775"/>
    </row>
    <row r="45" spans="1:25" ht="15.75" customHeight="1" x14ac:dyDescent="0.2">
      <c r="A45" s="780" t="s">
        <v>362</v>
      </c>
      <c r="B45" s="777"/>
      <c r="C45" s="779" t="s">
        <v>436</v>
      </c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36">
        <f t="shared" si="0"/>
        <v>0</v>
      </c>
      <c r="O45" s="806">
        <f>D45+D46+M81</f>
        <v>0</v>
      </c>
      <c r="P45" s="806">
        <f>O45+(E45+E46)</f>
        <v>0</v>
      </c>
      <c r="Q45" s="806">
        <f t="shared" ref="Q45:X45" si="21">(F45+F46)+P45</f>
        <v>0</v>
      </c>
      <c r="R45" s="806">
        <f t="shared" si="21"/>
        <v>0</v>
      </c>
      <c r="S45" s="806">
        <f t="shared" si="21"/>
        <v>0</v>
      </c>
      <c r="T45" s="806">
        <f t="shared" si="21"/>
        <v>0</v>
      </c>
      <c r="U45" s="806">
        <f t="shared" si="21"/>
        <v>0</v>
      </c>
      <c r="V45" s="806">
        <f t="shared" si="21"/>
        <v>0</v>
      </c>
      <c r="W45" s="806">
        <f t="shared" si="21"/>
        <v>0</v>
      </c>
      <c r="X45" s="806">
        <f t="shared" si="21"/>
        <v>0</v>
      </c>
      <c r="Y45" s="775"/>
    </row>
    <row r="46" spans="1:25" ht="15.75" customHeight="1" x14ac:dyDescent="0.2">
      <c r="A46" s="778" t="s">
        <v>28</v>
      </c>
      <c r="B46" s="800"/>
      <c r="C46" s="776" t="s">
        <v>435</v>
      </c>
      <c r="D46" s="524">
        <f>+D45*($B$46*0.01)</f>
        <v>0</v>
      </c>
      <c r="E46" s="524">
        <f t="shared" ref="E46:M46" si="22">+E45*($B$46*0.01)</f>
        <v>0</v>
      </c>
      <c r="F46" s="524">
        <f t="shared" si="22"/>
        <v>0</v>
      </c>
      <c r="G46" s="524">
        <f t="shared" si="22"/>
        <v>0</v>
      </c>
      <c r="H46" s="524">
        <f t="shared" si="22"/>
        <v>0</v>
      </c>
      <c r="I46" s="524">
        <f t="shared" si="22"/>
        <v>0</v>
      </c>
      <c r="J46" s="524">
        <f t="shared" si="22"/>
        <v>0</v>
      </c>
      <c r="K46" s="524">
        <f t="shared" si="22"/>
        <v>0</v>
      </c>
      <c r="L46" s="524">
        <f t="shared" si="22"/>
        <v>0</v>
      </c>
      <c r="M46" s="524">
        <f t="shared" si="22"/>
        <v>0</v>
      </c>
      <c r="N46" s="37">
        <f t="shared" si="0"/>
        <v>0</v>
      </c>
      <c r="O46" s="806"/>
      <c r="P46" s="806"/>
      <c r="Q46" s="806"/>
      <c r="R46" s="806"/>
      <c r="S46" s="806"/>
      <c r="T46" s="806"/>
      <c r="U46" s="806"/>
      <c r="V46" s="806"/>
      <c r="W46" s="806"/>
      <c r="X46" s="806"/>
      <c r="Y46" s="775"/>
    </row>
    <row r="47" spans="1:25" ht="15.75" customHeight="1" x14ac:dyDescent="0.2">
      <c r="A47" s="774"/>
      <c r="B47" s="773"/>
      <c r="C47" s="772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806"/>
      <c r="P47" s="806"/>
      <c r="Q47" s="806"/>
      <c r="R47" s="806"/>
      <c r="S47" s="806"/>
      <c r="T47" s="775"/>
      <c r="U47" s="775"/>
      <c r="V47" s="775"/>
      <c r="W47" s="775"/>
      <c r="X47" s="775"/>
      <c r="Y47" s="775"/>
    </row>
    <row r="48" spans="1:25" ht="15.75" customHeight="1" x14ac:dyDescent="0.2">
      <c r="A48" s="780" t="s">
        <v>263</v>
      </c>
      <c r="B48" s="777"/>
      <c r="C48" s="779" t="s">
        <v>436</v>
      </c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36">
        <f t="shared" si="0"/>
        <v>0</v>
      </c>
      <c r="O48" s="806">
        <f>D48+D49+M82</f>
        <v>0</v>
      </c>
      <c r="P48" s="806">
        <f>O48+(E48+E49)</f>
        <v>0</v>
      </c>
      <c r="Q48" s="806">
        <f t="shared" ref="Q48:X48" si="23">(F48+F49)+P48</f>
        <v>0</v>
      </c>
      <c r="R48" s="806">
        <f t="shared" si="23"/>
        <v>0</v>
      </c>
      <c r="S48" s="806">
        <f t="shared" si="23"/>
        <v>0</v>
      </c>
      <c r="T48" s="806">
        <f t="shared" si="23"/>
        <v>0</v>
      </c>
      <c r="U48" s="806">
        <f t="shared" si="23"/>
        <v>0</v>
      </c>
      <c r="V48" s="806">
        <f t="shared" si="23"/>
        <v>0</v>
      </c>
      <c r="W48" s="806">
        <f t="shared" si="23"/>
        <v>0</v>
      </c>
      <c r="X48" s="806">
        <f t="shared" si="23"/>
        <v>0</v>
      </c>
      <c r="Y48" s="775"/>
    </row>
    <row r="49" spans="1:25" ht="15.75" customHeight="1" x14ac:dyDescent="0.2">
      <c r="A49" s="778" t="s">
        <v>28</v>
      </c>
      <c r="B49" s="800"/>
      <c r="C49" s="776" t="s">
        <v>435</v>
      </c>
      <c r="D49" s="524">
        <f>+D48*($B$49*0.01)</f>
        <v>0</v>
      </c>
      <c r="E49" s="524">
        <f t="shared" ref="E49:M49" si="24">+E48*($B$49*0.01)</f>
        <v>0</v>
      </c>
      <c r="F49" s="524">
        <f t="shared" si="24"/>
        <v>0</v>
      </c>
      <c r="G49" s="524">
        <f t="shared" si="24"/>
        <v>0</v>
      </c>
      <c r="H49" s="524">
        <f t="shared" si="24"/>
        <v>0</v>
      </c>
      <c r="I49" s="524">
        <f t="shared" si="24"/>
        <v>0</v>
      </c>
      <c r="J49" s="524">
        <f t="shared" si="24"/>
        <v>0</v>
      </c>
      <c r="K49" s="524">
        <f t="shared" si="24"/>
        <v>0</v>
      </c>
      <c r="L49" s="524">
        <f t="shared" si="24"/>
        <v>0</v>
      </c>
      <c r="M49" s="524">
        <f t="shared" si="24"/>
        <v>0</v>
      </c>
      <c r="N49" s="37">
        <f t="shared" si="0"/>
        <v>0</v>
      </c>
      <c r="O49" s="806"/>
      <c r="P49" s="806"/>
      <c r="Q49" s="806"/>
      <c r="R49" s="806"/>
      <c r="S49" s="806"/>
      <c r="T49" s="806"/>
      <c r="U49" s="806"/>
      <c r="V49" s="806"/>
      <c r="W49" s="806"/>
      <c r="X49" s="806"/>
      <c r="Y49" s="775"/>
    </row>
    <row r="50" spans="1:25" ht="15.75" customHeight="1" x14ac:dyDescent="0.2">
      <c r="A50" s="774"/>
      <c r="B50" s="773"/>
      <c r="C50" s="772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806"/>
      <c r="P50" s="806"/>
      <c r="Q50" s="806"/>
      <c r="R50" s="806"/>
      <c r="S50" s="806"/>
      <c r="T50" s="775"/>
      <c r="U50" s="775"/>
      <c r="V50" s="775"/>
      <c r="W50" s="775"/>
      <c r="X50" s="775"/>
      <c r="Y50" s="775"/>
    </row>
    <row r="51" spans="1:25" ht="15.75" customHeight="1" x14ac:dyDescent="0.2">
      <c r="A51" s="780" t="s">
        <v>363</v>
      </c>
      <c r="B51" s="777"/>
      <c r="C51" s="779" t="s">
        <v>436</v>
      </c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36">
        <f t="shared" si="0"/>
        <v>0</v>
      </c>
      <c r="O51" s="806">
        <f>D51+D52+M83</f>
        <v>0</v>
      </c>
      <c r="P51" s="806">
        <f>O51+(E51+E52)</f>
        <v>0</v>
      </c>
      <c r="Q51" s="806">
        <f t="shared" ref="Q51:X51" si="25">(F51+F52)+P51</f>
        <v>0</v>
      </c>
      <c r="R51" s="806">
        <f t="shared" si="25"/>
        <v>0</v>
      </c>
      <c r="S51" s="806">
        <f t="shared" si="25"/>
        <v>0</v>
      </c>
      <c r="T51" s="806">
        <f t="shared" si="25"/>
        <v>0</v>
      </c>
      <c r="U51" s="806">
        <f t="shared" si="25"/>
        <v>0</v>
      </c>
      <c r="V51" s="806">
        <f t="shared" si="25"/>
        <v>0</v>
      </c>
      <c r="W51" s="806">
        <f t="shared" si="25"/>
        <v>0</v>
      </c>
      <c r="X51" s="806">
        <f t="shared" si="25"/>
        <v>0</v>
      </c>
      <c r="Y51" s="775"/>
    </row>
    <row r="52" spans="1:25" ht="15.75" customHeight="1" x14ac:dyDescent="0.2">
      <c r="A52" s="778" t="s">
        <v>28</v>
      </c>
      <c r="B52" s="800"/>
      <c r="C52" s="776" t="s">
        <v>435</v>
      </c>
      <c r="D52" s="524">
        <f>+D51*($B$52*0.01)</f>
        <v>0</v>
      </c>
      <c r="E52" s="524">
        <f t="shared" ref="E52:M52" si="26">+E51*($B$52*0.01)</f>
        <v>0</v>
      </c>
      <c r="F52" s="524">
        <f t="shared" si="26"/>
        <v>0</v>
      </c>
      <c r="G52" s="524">
        <f t="shared" si="26"/>
        <v>0</v>
      </c>
      <c r="H52" s="524">
        <f t="shared" si="26"/>
        <v>0</v>
      </c>
      <c r="I52" s="524">
        <f t="shared" si="26"/>
        <v>0</v>
      </c>
      <c r="J52" s="524">
        <f t="shared" si="26"/>
        <v>0</v>
      </c>
      <c r="K52" s="524">
        <f t="shared" si="26"/>
        <v>0</v>
      </c>
      <c r="L52" s="524">
        <f t="shared" si="26"/>
        <v>0</v>
      </c>
      <c r="M52" s="524">
        <f t="shared" si="26"/>
        <v>0</v>
      </c>
      <c r="N52" s="37">
        <f t="shared" si="0"/>
        <v>0</v>
      </c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775"/>
    </row>
    <row r="53" spans="1:25" ht="15.75" customHeight="1" x14ac:dyDescent="0.2">
      <c r="A53" s="774"/>
      <c r="B53" s="773"/>
      <c r="C53" s="772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806"/>
      <c r="P53" s="806"/>
      <c r="Q53" s="806"/>
      <c r="R53" s="806"/>
      <c r="S53" s="806"/>
      <c r="T53" s="775"/>
      <c r="U53" s="775"/>
      <c r="V53" s="775"/>
      <c r="W53" s="775"/>
      <c r="X53" s="775"/>
      <c r="Y53" s="775"/>
    </row>
    <row r="54" spans="1:25" ht="15.75" customHeight="1" x14ac:dyDescent="0.2">
      <c r="A54" s="780" t="s">
        <v>364</v>
      </c>
      <c r="B54" s="777"/>
      <c r="C54" s="779" t="s">
        <v>436</v>
      </c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36">
        <f t="shared" si="0"/>
        <v>0</v>
      </c>
      <c r="O54" s="806">
        <f>D54+D55+M84</f>
        <v>0</v>
      </c>
      <c r="P54" s="806">
        <f>O54+(E54+E55)</f>
        <v>0</v>
      </c>
      <c r="Q54" s="806">
        <f t="shared" ref="Q54:X54" si="27">(F54+F55)+P54</f>
        <v>0</v>
      </c>
      <c r="R54" s="806">
        <f t="shared" si="27"/>
        <v>0</v>
      </c>
      <c r="S54" s="806">
        <f t="shared" si="27"/>
        <v>0</v>
      </c>
      <c r="T54" s="806">
        <f t="shared" si="27"/>
        <v>0</v>
      </c>
      <c r="U54" s="806">
        <f t="shared" si="27"/>
        <v>0</v>
      </c>
      <c r="V54" s="806">
        <f t="shared" si="27"/>
        <v>0</v>
      </c>
      <c r="W54" s="806">
        <f t="shared" si="27"/>
        <v>0</v>
      </c>
      <c r="X54" s="806">
        <f t="shared" si="27"/>
        <v>0</v>
      </c>
      <c r="Y54" s="775"/>
    </row>
    <row r="55" spans="1:25" ht="15.75" customHeight="1" x14ac:dyDescent="0.2">
      <c r="A55" s="778" t="s">
        <v>28</v>
      </c>
      <c r="B55" s="800"/>
      <c r="C55" s="776" t="s">
        <v>435</v>
      </c>
      <c r="D55" s="524">
        <f>+D54*($B$55*0.01)</f>
        <v>0</v>
      </c>
      <c r="E55" s="524">
        <f t="shared" ref="E55:M55" si="28">+E54*($B$55*0.01)</f>
        <v>0</v>
      </c>
      <c r="F55" s="524">
        <f t="shared" si="28"/>
        <v>0</v>
      </c>
      <c r="G55" s="524">
        <f t="shared" si="28"/>
        <v>0</v>
      </c>
      <c r="H55" s="524">
        <f t="shared" si="28"/>
        <v>0</v>
      </c>
      <c r="I55" s="524">
        <f t="shared" si="28"/>
        <v>0</v>
      </c>
      <c r="J55" s="524">
        <f t="shared" si="28"/>
        <v>0</v>
      </c>
      <c r="K55" s="524">
        <f t="shared" si="28"/>
        <v>0</v>
      </c>
      <c r="L55" s="524">
        <f t="shared" si="28"/>
        <v>0</v>
      </c>
      <c r="M55" s="524">
        <f t="shared" si="28"/>
        <v>0</v>
      </c>
      <c r="N55" s="37">
        <f t="shared" si="0"/>
        <v>0</v>
      </c>
      <c r="O55" s="806"/>
      <c r="P55" s="806"/>
      <c r="Q55" s="806"/>
      <c r="R55" s="806"/>
      <c r="S55" s="806"/>
      <c r="T55" s="806"/>
      <c r="U55" s="806"/>
      <c r="V55" s="806"/>
      <c r="W55" s="806"/>
      <c r="X55" s="806"/>
      <c r="Y55" s="775"/>
    </row>
    <row r="56" spans="1:25" ht="15.75" customHeight="1" x14ac:dyDescent="0.2">
      <c r="A56" s="774"/>
      <c r="B56" s="773"/>
      <c r="C56" s="772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806"/>
      <c r="P56" s="806"/>
      <c r="Q56" s="806"/>
      <c r="R56" s="806"/>
      <c r="S56" s="806"/>
      <c r="T56" s="775"/>
      <c r="U56" s="775"/>
      <c r="V56" s="775"/>
      <c r="W56" s="775"/>
      <c r="X56" s="775"/>
      <c r="Y56" s="775"/>
    </row>
    <row r="57" spans="1:25" ht="15.75" customHeight="1" x14ac:dyDescent="0.2">
      <c r="A57" s="780" t="s">
        <v>264</v>
      </c>
      <c r="B57" s="777"/>
      <c r="C57" s="779" t="s">
        <v>436</v>
      </c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36">
        <f t="shared" si="0"/>
        <v>0</v>
      </c>
      <c r="O57" s="806">
        <f>D57+D58+M85</f>
        <v>0</v>
      </c>
      <c r="P57" s="806">
        <f>O57+(E57+E58)</f>
        <v>0</v>
      </c>
      <c r="Q57" s="806">
        <f t="shared" ref="Q57:X57" si="29">(F57+F58)+P57</f>
        <v>0</v>
      </c>
      <c r="R57" s="806">
        <f t="shared" si="29"/>
        <v>0</v>
      </c>
      <c r="S57" s="806">
        <f t="shared" si="29"/>
        <v>0</v>
      </c>
      <c r="T57" s="806">
        <f t="shared" si="29"/>
        <v>0</v>
      </c>
      <c r="U57" s="806">
        <f t="shared" si="29"/>
        <v>0</v>
      </c>
      <c r="V57" s="806">
        <f t="shared" si="29"/>
        <v>0</v>
      </c>
      <c r="W57" s="806">
        <f t="shared" si="29"/>
        <v>0</v>
      </c>
      <c r="X57" s="806">
        <f t="shared" si="29"/>
        <v>0</v>
      </c>
      <c r="Y57" s="775"/>
    </row>
    <row r="58" spans="1:25" ht="15.75" customHeight="1" x14ac:dyDescent="0.2">
      <c r="A58" s="778" t="s">
        <v>28</v>
      </c>
      <c r="B58" s="800"/>
      <c r="C58" s="776" t="s">
        <v>435</v>
      </c>
      <c r="D58" s="524">
        <f>+D57*($B$58*0.01)</f>
        <v>0</v>
      </c>
      <c r="E58" s="524">
        <f t="shared" ref="E58:M58" si="30">+E57*($B$58*0.01)</f>
        <v>0</v>
      </c>
      <c r="F58" s="524">
        <f t="shared" si="30"/>
        <v>0</v>
      </c>
      <c r="G58" s="524">
        <f t="shared" si="30"/>
        <v>0</v>
      </c>
      <c r="H58" s="524">
        <f t="shared" si="30"/>
        <v>0</v>
      </c>
      <c r="I58" s="524">
        <f t="shared" si="30"/>
        <v>0</v>
      </c>
      <c r="J58" s="524">
        <f t="shared" si="30"/>
        <v>0</v>
      </c>
      <c r="K58" s="524">
        <f t="shared" si="30"/>
        <v>0</v>
      </c>
      <c r="L58" s="524">
        <f t="shared" si="30"/>
        <v>0</v>
      </c>
      <c r="M58" s="524">
        <f t="shared" si="30"/>
        <v>0</v>
      </c>
      <c r="N58" s="37">
        <f t="shared" si="0"/>
        <v>0</v>
      </c>
      <c r="O58" s="799"/>
      <c r="P58" s="799"/>
      <c r="Q58" s="799"/>
      <c r="R58" s="799"/>
      <c r="S58" s="799"/>
      <c r="T58" s="799"/>
      <c r="U58" s="799"/>
      <c r="V58" s="799"/>
      <c r="W58" s="799"/>
      <c r="X58" s="799"/>
      <c r="Y58" s="775"/>
    </row>
    <row r="59" spans="1:25" ht="15.75" customHeight="1" x14ac:dyDescent="0.2">
      <c r="A59" s="774"/>
      <c r="B59" s="773"/>
      <c r="C59" s="772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799"/>
      <c r="P59" s="799"/>
      <c r="Q59" s="799"/>
      <c r="R59" s="799"/>
      <c r="S59" s="799"/>
      <c r="T59" s="798"/>
      <c r="U59" s="798"/>
      <c r="V59" s="798"/>
      <c r="W59" s="798"/>
      <c r="X59" s="798"/>
    </row>
    <row r="60" spans="1:25" ht="15.75" customHeight="1" x14ac:dyDescent="0.2">
      <c r="A60" s="771"/>
      <c r="B60" s="771"/>
      <c r="C60" s="77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37"/>
      <c r="O60" s="799"/>
      <c r="P60" s="799"/>
      <c r="Q60" s="799"/>
      <c r="R60" s="799"/>
      <c r="S60" s="799"/>
      <c r="T60" s="798"/>
      <c r="U60" s="798"/>
      <c r="V60" s="798"/>
      <c r="W60" s="798"/>
      <c r="X60" s="798"/>
    </row>
    <row r="61" spans="1:25" ht="15.75" customHeight="1" x14ac:dyDescent="0.2">
      <c r="A61" s="764"/>
      <c r="B61" s="764"/>
      <c r="C61" s="769" t="s">
        <v>215</v>
      </c>
      <c r="D61" s="33">
        <f t="shared" ref="D61:N61" si="31">D15+D18+D21+D24+D27+D30+D33+D36+D39+D42+D45+D48+D51+D54+D57</f>
        <v>0</v>
      </c>
      <c r="E61" s="33">
        <f t="shared" si="31"/>
        <v>0</v>
      </c>
      <c r="F61" s="33">
        <f t="shared" si="31"/>
        <v>0</v>
      </c>
      <c r="G61" s="33">
        <f t="shared" si="31"/>
        <v>0</v>
      </c>
      <c r="H61" s="33">
        <f t="shared" si="31"/>
        <v>0</v>
      </c>
      <c r="I61" s="33">
        <f t="shared" si="31"/>
        <v>0</v>
      </c>
      <c r="J61" s="33">
        <f t="shared" si="31"/>
        <v>0</v>
      </c>
      <c r="K61" s="33">
        <f t="shared" si="31"/>
        <v>0</v>
      </c>
      <c r="L61" s="33">
        <f t="shared" si="31"/>
        <v>0</v>
      </c>
      <c r="M61" s="33">
        <f t="shared" si="31"/>
        <v>0</v>
      </c>
      <c r="N61" s="33">
        <f t="shared" si="31"/>
        <v>0</v>
      </c>
      <c r="O61" s="799"/>
      <c r="P61" s="799"/>
      <c r="Q61" s="799"/>
      <c r="R61" s="799"/>
      <c r="S61" s="799"/>
      <c r="T61" s="798"/>
      <c r="U61" s="798"/>
      <c r="V61" s="798"/>
      <c r="W61" s="798"/>
      <c r="X61" s="798"/>
    </row>
    <row r="62" spans="1:25" ht="15.75" customHeight="1" x14ac:dyDescent="0.2">
      <c r="A62" s="764"/>
      <c r="B62" s="764"/>
      <c r="C62" s="769" t="s">
        <v>216</v>
      </c>
      <c r="D62" s="247">
        <f>SUM(D16+D19+D22+D25+D28+D31+D34+D37+D40+D43+D46+D49+D52+D55+D58)</f>
        <v>0</v>
      </c>
      <c r="E62" s="247">
        <f t="shared" ref="E62:M62" si="32">SUM(E16+E19+E22+E25+E28+E31+E34+E37+E40+E43+E46+E49+E52+E55+E58)</f>
        <v>0</v>
      </c>
      <c r="F62" s="247">
        <f t="shared" si="32"/>
        <v>0</v>
      </c>
      <c r="G62" s="247">
        <f t="shared" si="32"/>
        <v>0</v>
      </c>
      <c r="H62" s="247">
        <f t="shared" si="32"/>
        <v>0</v>
      </c>
      <c r="I62" s="247">
        <f t="shared" si="32"/>
        <v>0</v>
      </c>
      <c r="J62" s="247">
        <f t="shared" si="32"/>
        <v>0</v>
      </c>
      <c r="K62" s="247">
        <f t="shared" si="32"/>
        <v>0</v>
      </c>
      <c r="L62" s="247">
        <f t="shared" si="32"/>
        <v>0</v>
      </c>
      <c r="M62" s="247">
        <f t="shared" si="32"/>
        <v>0</v>
      </c>
      <c r="N62" s="247">
        <f>SUM(D62:M62)</f>
        <v>0</v>
      </c>
      <c r="O62" s="799"/>
      <c r="P62" s="799"/>
      <c r="Q62" s="799"/>
      <c r="R62" s="799"/>
      <c r="S62" s="799"/>
      <c r="T62" s="798"/>
      <c r="U62" s="798"/>
      <c r="V62" s="798"/>
      <c r="W62" s="798"/>
      <c r="X62" s="798"/>
    </row>
    <row r="63" spans="1:25" ht="15.75" customHeight="1" x14ac:dyDescent="0.2">
      <c r="A63" s="764"/>
      <c r="B63" s="764"/>
      <c r="C63" s="769" t="s">
        <v>191</v>
      </c>
      <c r="D63" s="32">
        <f t="shared" ref="D63:N63" si="33">D17+D20+D23+D26+D29+D32+D35+D38+D41+D44+D47+D50+D53+D56+D59</f>
        <v>0</v>
      </c>
      <c r="E63" s="32">
        <f t="shared" si="33"/>
        <v>0</v>
      </c>
      <c r="F63" s="32">
        <f t="shared" si="33"/>
        <v>0</v>
      </c>
      <c r="G63" s="32">
        <f t="shared" si="33"/>
        <v>0</v>
      </c>
      <c r="H63" s="32">
        <f t="shared" si="33"/>
        <v>0</v>
      </c>
      <c r="I63" s="32">
        <f t="shared" si="33"/>
        <v>0</v>
      </c>
      <c r="J63" s="32">
        <f t="shared" si="33"/>
        <v>0</v>
      </c>
      <c r="K63" s="32">
        <f t="shared" si="33"/>
        <v>0</v>
      </c>
      <c r="L63" s="32">
        <f t="shared" si="33"/>
        <v>0</v>
      </c>
      <c r="M63" s="32">
        <f t="shared" si="33"/>
        <v>0</v>
      </c>
      <c r="N63" s="32">
        <f t="shared" si="33"/>
        <v>0</v>
      </c>
      <c r="O63" s="799"/>
      <c r="P63" s="799"/>
      <c r="Q63" s="799"/>
      <c r="R63" s="799"/>
      <c r="S63" s="799"/>
      <c r="T63" s="798"/>
      <c r="U63" s="798"/>
      <c r="V63" s="798"/>
      <c r="W63" s="798"/>
      <c r="X63" s="798"/>
    </row>
    <row r="64" spans="1:2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  <c r="K64" s="764"/>
      <c r="L64" s="764"/>
      <c r="M64" s="764"/>
      <c r="N64" s="764"/>
      <c r="O64" s="798"/>
      <c r="P64" s="798"/>
      <c r="Q64" s="798"/>
      <c r="R64" s="798"/>
      <c r="S64" s="798"/>
      <c r="T64" s="798"/>
      <c r="U64" s="798"/>
      <c r="V64" s="798"/>
      <c r="W64" s="798"/>
      <c r="X64" s="798"/>
    </row>
    <row r="65" spans="1:24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  <c r="O65" s="798"/>
      <c r="P65" s="798"/>
      <c r="Q65" s="798"/>
      <c r="R65" s="798"/>
      <c r="S65" s="798"/>
      <c r="T65" s="798"/>
      <c r="U65" s="798"/>
      <c r="V65" s="798"/>
      <c r="W65" s="798"/>
      <c r="X65" s="798"/>
    </row>
    <row r="66" spans="1:24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98"/>
      <c r="P66" s="798"/>
      <c r="Q66" s="798"/>
      <c r="R66" s="798"/>
      <c r="S66" s="798"/>
      <c r="T66" s="798"/>
      <c r="U66" s="798"/>
      <c r="V66" s="798"/>
      <c r="W66" s="798"/>
      <c r="X66" s="798"/>
    </row>
    <row r="67" spans="1:24" x14ac:dyDescent="0.2">
      <c r="A67" s="764"/>
      <c r="B67" s="764"/>
      <c r="C67" s="768" t="s">
        <v>105</v>
      </c>
      <c r="D67" s="764"/>
      <c r="E67" s="764"/>
      <c r="F67" s="764"/>
      <c r="G67" s="764"/>
      <c r="H67" s="764"/>
      <c r="I67" s="764"/>
      <c r="J67" s="764"/>
      <c r="K67" s="764"/>
      <c r="L67" s="764"/>
      <c r="M67" s="764"/>
      <c r="N67" s="764"/>
      <c r="O67" s="798"/>
      <c r="P67" s="798"/>
      <c r="Q67" s="798"/>
      <c r="R67" s="798"/>
      <c r="S67" s="798"/>
      <c r="T67" s="798"/>
      <c r="U67" s="798"/>
      <c r="V67" s="798"/>
      <c r="W67" s="798"/>
      <c r="X67" s="798"/>
    </row>
    <row r="68" spans="1:24" x14ac:dyDescent="0.2">
      <c r="A68" s="766" t="s">
        <v>106</v>
      </c>
      <c r="B68" s="766"/>
      <c r="C68" s="764" t="s">
        <v>107</v>
      </c>
      <c r="D68" s="764"/>
      <c r="E68" s="764"/>
      <c r="F68" s="764"/>
      <c r="G68" s="764"/>
      <c r="H68" s="764"/>
      <c r="I68" s="764"/>
      <c r="J68" s="764"/>
      <c r="K68" s="764"/>
      <c r="M68" s="767" t="s">
        <v>198</v>
      </c>
      <c r="N68" s="764"/>
      <c r="O68" s="798"/>
      <c r="P68" s="798"/>
      <c r="Q68" s="798"/>
      <c r="R68" s="798"/>
      <c r="S68" s="798"/>
      <c r="T68" s="798"/>
      <c r="U68" s="798"/>
      <c r="V68" s="798"/>
      <c r="W68" s="798"/>
      <c r="X68" s="798"/>
    </row>
    <row r="69" spans="1:24" x14ac:dyDescent="0.2">
      <c r="A69" s="764"/>
      <c r="B69" s="764"/>
      <c r="C69" s="764" t="s">
        <v>203</v>
      </c>
      <c r="D69" s="764"/>
      <c r="E69" s="764"/>
      <c r="F69" s="764"/>
      <c r="G69" s="764"/>
      <c r="H69" s="764"/>
      <c r="I69" s="764"/>
      <c r="J69" s="764"/>
      <c r="K69" s="764"/>
      <c r="M69" s="767" t="s">
        <v>190</v>
      </c>
      <c r="N69" s="764"/>
      <c r="O69" s="798"/>
      <c r="P69" s="798"/>
      <c r="Q69" s="798"/>
      <c r="R69" s="798"/>
      <c r="S69" s="798"/>
      <c r="T69" s="798"/>
      <c r="U69" s="798"/>
      <c r="V69" s="798"/>
      <c r="W69" s="798"/>
      <c r="X69" s="798"/>
    </row>
    <row r="70" spans="1:24" x14ac:dyDescent="0.2">
      <c r="A70" s="764"/>
      <c r="B70" s="764"/>
      <c r="C70" s="764" t="s">
        <v>199</v>
      </c>
      <c r="D70" s="764"/>
      <c r="E70" s="764"/>
      <c r="F70" s="764"/>
      <c r="G70" s="764"/>
      <c r="H70" s="764"/>
      <c r="I70" s="764"/>
      <c r="J70" s="764"/>
      <c r="K70" s="764"/>
      <c r="L70" s="764"/>
      <c r="M70" s="764"/>
      <c r="N70" s="764"/>
      <c r="O70" s="798"/>
      <c r="P70" s="798"/>
      <c r="Q70" s="798"/>
      <c r="R70" s="798"/>
      <c r="S70" s="798"/>
      <c r="T70" s="798"/>
      <c r="U70" s="798"/>
      <c r="V70" s="798"/>
      <c r="W70" s="798"/>
      <c r="X70" s="798"/>
    </row>
    <row r="71" spans="1:24" x14ac:dyDescent="0.2">
      <c r="A71" s="766" t="s">
        <v>108</v>
      </c>
      <c r="B71" s="766"/>
      <c r="C71" s="764" t="s">
        <v>200</v>
      </c>
      <c r="D71" s="764"/>
      <c r="E71" s="764"/>
      <c r="F71" s="764"/>
      <c r="G71" s="764"/>
      <c r="H71" s="764"/>
      <c r="I71" s="764"/>
      <c r="J71" s="764"/>
      <c r="K71" s="764"/>
      <c r="L71" s="763" t="s">
        <v>56</v>
      </c>
      <c r="M71" s="762"/>
      <c r="N71" s="764"/>
      <c r="O71" s="798"/>
      <c r="P71" s="798"/>
      <c r="Q71" s="798"/>
      <c r="R71" s="798"/>
      <c r="S71" s="798"/>
      <c r="T71" s="798"/>
      <c r="U71" s="798"/>
      <c r="V71" s="798"/>
      <c r="W71" s="798"/>
      <c r="X71" s="798"/>
    </row>
    <row r="72" spans="1:24" x14ac:dyDescent="0.2">
      <c r="A72" s="763"/>
      <c r="B72" s="763"/>
      <c r="C72" s="764" t="s">
        <v>437</v>
      </c>
      <c r="D72" s="764"/>
      <c r="E72" s="764"/>
      <c r="F72" s="764"/>
      <c r="G72" s="764"/>
      <c r="H72" s="764"/>
      <c r="I72" s="764"/>
      <c r="J72" s="764"/>
      <c r="K72" s="764"/>
      <c r="L72" s="763" t="s">
        <v>100</v>
      </c>
      <c r="M72" s="762"/>
      <c r="N72" s="764"/>
      <c r="O72" s="798"/>
      <c r="P72" s="798"/>
      <c r="Q72" s="798"/>
      <c r="R72" s="798"/>
      <c r="S72" s="798"/>
      <c r="T72" s="798"/>
      <c r="U72" s="798"/>
      <c r="V72" s="798"/>
      <c r="W72" s="798"/>
      <c r="X72" s="798"/>
    </row>
    <row r="73" spans="1:24" x14ac:dyDescent="0.2">
      <c r="A73" s="764"/>
      <c r="B73" s="764"/>
      <c r="C73" s="764" t="s">
        <v>438</v>
      </c>
      <c r="D73" s="764"/>
      <c r="E73" s="764"/>
      <c r="F73" s="764"/>
      <c r="G73" s="764"/>
      <c r="H73" s="764"/>
      <c r="I73" s="764"/>
      <c r="J73" s="764"/>
      <c r="K73" s="764"/>
      <c r="L73" s="763" t="s">
        <v>101</v>
      </c>
      <c r="M73" s="762"/>
      <c r="N73" s="764"/>
      <c r="O73" s="798"/>
      <c r="P73" s="798"/>
      <c r="Q73" s="798"/>
      <c r="R73" s="798"/>
      <c r="S73" s="798"/>
      <c r="T73" s="798"/>
      <c r="U73" s="798"/>
      <c r="V73" s="798"/>
      <c r="W73" s="798"/>
      <c r="X73" s="798"/>
    </row>
    <row r="74" spans="1:24" x14ac:dyDescent="0.2">
      <c r="A74" s="764"/>
      <c r="B74" s="764"/>
      <c r="C74" s="764" t="s">
        <v>439</v>
      </c>
      <c r="D74" s="764"/>
      <c r="E74" s="764"/>
      <c r="F74" s="764"/>
      <c r="G74" s="764"/>
      <c r="H74" s="764"/>
      <c r="I74" s="764"/>
      <c r="J74" s="764"/>
      <c r="K74" s="764"/>
      <c r="L74" s="763" t="s">
        <v>102</v>
      </c>
      <c r="M74" s="762"/>
      <c r="N74" s="764"/>
      <c r="O74" s="798"/>
      <c r="P74" s="798"/>
      <c r="Q74" s="798"/>
      <c r="R74" s="798"/>
      <c r="S74" s="798"/>
      <c r="T74" s="798"/>
      <c r="U74" s="798"/>
      <c r="V74" s="798"/>
      <c r="W74" s="798"/>
      <c r="X74" s="798"/>
    </row>
    <row r="75" spans="1:24" x14ac:dyDescent="0.2">
      <c r="A75" s="764"/>
      <c r="B75" s="764"/>
      <c r="C75" s="764" t="s">
        <v>115</v>
      </c>
      <c r="D75" s="764"/>
      <c r="E75" s="764"/>
      <c r="F75" s="764"/>
      <c r="G75" s="764"/>
      <c r="H75" s="764"/>
      <c r="I75" s="764"/>
      <c r="J75" s="764"/>
      <c r="K75" s="764"/>
      <c r="L75" s="763" t="s">
        <v>103</v>
      </c>
      <c r="M75" s="762"/>
      <c r="N75" s="764"/>
      <c r="O75" s="798"/>
      <c r="P75" s="798"/>
      <c r="Q75" s="798"/>
      <c r="R75" s="798"/>
      <c r="S75" s="798"/>
      <c r="T75" s="798"/>
      <c r="U75" s="798"/>
      <c r="V75" s="798"/>
      <c r="W75" s="798"/>
      <c r="X75" s="798"/>
    </row>
    <row r="76" spans="1:24" x14ac:dyDescent="0.2">
      <c r="A76" s="764"/>
      <c r="B76" s="764"/>
      <c r="C76" s="764" t="s">
        <v>201</v>
      </c>
      <c r="D76" s="764"/>
      <c r="E76" s="764"/>
      <c r="F76" s="764"/>
      <c r="G76" s="764"/>
      <c r="H76" s="764"/>
      <c r="I76" s="764"/>
      <c r="J76" s="764"/>
      <c r="K76" s="764"/>
      <c r="L76" s="763" t="s">
        <v>57</v>
      </c>
      <c r="M76" s="762"/>
      <c r="N76" s="764"/>
      <c r="O76" s="798"/>
      <c r="P76" s="798"/>
      <c r="Q76" s="798"/>
      <c r="R76" s="798"/>
      <c r="S76" s="798"/>
      <c r="T76" s="798"/>
      <c r="U76" s="798"/>
      <c r="V76" s="798"/>
      <c r="W76" s="798"/>
      <c r="X76" s="798"/>
    </row>
    <row r="77" spans="1:24" x14ac:dyDescent="0.2">
      <c r="A77" s="764"/>
      <c r="B77" s="764"/>
      <c r="C77" s="764" t="s">
        <v>202</v>
      </c>
      <c r="D77" s="764"/>
      <c r="E77" s="764"/>
      <c r="F77" s="764"/>
      <c r="G77" s="764"/>
      <c r="H77" s="764"/>
      <c r="I77" s="764"/>
      <c r="J77" s="764"/>
      <c r="K77" s="764"/>
      <c r="L77" s="763" t="s">
        <v>104</v>
      </c>
      <c r="M77" s="762"/>
      <c r="N77" s="764"/>
      <c r="O77" s="798"/>
      <c r="P77" s="798"/>
      <c r="Q77" s="798"/>
      <c r="R77" s="798"/>
      <c r="S77" s="798"/>
      <c r="T77" s="798"/>
      <c r="U77" s="798"/>
      <c r="V77" s="798"/>
      <c r="W77" s="798"/>
      <c r="X77" s="798"/>
    </row>
    <row r="78" spans="1:24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  <c r="K78" s="764"/>
      <c r="L78" s="763" t="s">
        <v>359</v>
      </c>
      <c r="M78" s="762"/>
      <c r="N78" s="764"/>
      <c r="O78" s="798"/>
      <c r="P78" s="798"/>
      <c r="Q78" s="798"/>
      <c r="R78" s="798"/>
      <c r="S78" s="798"/>
      <c r="T78" s="798"/>
      <c r="U78" s="798"/>
      <c r="V78" s="798"/>
      <c r="W78" s="798"/>
      <c r="X78" s="798"/>
    </row>
    <row r="79" spans="1:24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  <c r="K79" s="764"/>
      <c r="L79" s="763" t="s">
        <v>360</v>
      </c>
      <c r="M79" s="762"/>
      <c r="N79" s="764"/>
      <c r="O79" s="798"/>
      <c r="P79" s="798"/>
      <c r="Q79" s="798"/>
      <c r="R79" s="798"/>
      <c r="S79" s="798"/>
      <c r="T79" s="798"/>
      <c r="U79" s="798"/>
      <c r="V79" s="798"/>
      <c r="W79" s="798"/>
      <c r="X79" s="798"/>
    </row>
    <row r="80" spans="1:24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  <c r="K80" s="764"/>
      <c r="L80" s="763" t="s">
        <v>361</v>
      </c>
      <c r="M80" s="762"/>
      <c r="N80" s="764"/>
      <c r="O80" s="798"/>
      <c r="P80" s="798"/>
      <c r="Q80" s="798"/>
      <c r="R80" s="798"/>
      <c r="S80" s="798"/>
      <c r="T80" s="798"/>
      <c r="U80" s="798"/>
      <c r="V80" s="798"/>
      <c r="W80" s="798"/>
      <c r="X80" s="798"/>
    </row>
    <row r="81" spans="1:24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  <c r="K81" s="764"/>
      <c r="L81" s="763" t="s">
        <v>362</v>
      </c>
      <c r="M81" s="762"/>
      <c r="N81" s="764"/>
      <c r="O81" s="798"/>
      <c r="P81" s="798"/>
      <c r="Q81" s="798"/>
      <c r="R81" s="798"/>
      <c r="S81" s="798"/>
      <c r="T81" s="798"/>
      <c r="U81" s="798"/>
      <c r="V81" s="798"/>
      <c r="W81" s="798"/>
      <c r="X81" s="798"/>
    </row>
    <row r="82" spans="1:24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  <c r="K82" s="764"/>
      <c r="L82" s="763" t="s">
        <v>263</v>
      </c>
      <c r="M82" s="762"/>
      <c r="N82" s="764"/>
      <c r="O82" s="798"/>
      <c r="P82" s="798"/>
      <c r="Q82" s="798"/>
      <c r="R82" s="798"/>
      <c r="S82" s="798"/>
      <c r="T82" s="798"/>
      <c r="U82" s="798"/>
      <c r="V82" s="798"/>
      <c r="W82" s="798"/>
      <c r="X82" s="798"/>
    </row>
    <row r="83" spans="1:24" x14ac:dyDescent="0.2">
      <c r="A83" s="765"/>
      <c r="B83" s="765"/>
      <c r="C83" s="764"/>
      <c r="D83" s="764"/>
      <c r="E83" s="764"/>
      <c r="F83" s="764"/>
      <c r="G83" s="764"/>
      <c r="H83" s="764"/>
      <c r="I83" s="35"/>
      <c r="J83" s="764"/>
      <c r="K83" s="764"/>
      <c r="L83" s="763" t="s">
        <v>363</v>
      </c>
      <c r="M83" s="762"/>
      <c r="N83" s="764"/>
      <c r="O83" s="798"/>
      <c r="P83" s="798"/>
      <c r="Q83" s="798"/>
      <c r="R83" s="798"/>
      <c r="S83" s="798"/>
      <c r="T83" s="798"/>
      <c r="U83" s="798"/>
      <c r="V83" s="798"/>
      <c r="W83" s="798"/>
      <c r="X83" s="798"/>
    </row>
    <row r="84" spans="1:24" x14ac:dyDescent="0.2">
      <c r="L84" s="763" t="s">
        <v>364</v>
      </c>
      <c r="M84" s="762"/>
      <c r="O84" s="798"/>
      <c r="P84" s="798"/>
      <c r="Q84" s="798"/>
      <c r="R84" s="798"/>
      <c r="S84" s="798"/>
      <c r="T84" s="798"/>
      <c r="U84" s="798"/>
      <c r="V84" s="798"/>
      <c r="W84" s="798"/>
      <c r="X84" s="798"/>
    </row>
    <row r="85" spans="1:24" x14ac:dyDescent="0.2">
      <c r="L85" s="763" t="s">
        <v>264</v>
      </c>
      <c r="M85" s="762"/>
    </row>
  </sheetData>
  <sheetProtection algorithmName="SHA-512" hashValue="R4T9X+t11R0KWwXGK7vRRhHe+ecNoT3VdHuv493GdQ4rG3Au1KTVaUiwdh0CLzvlhYtJMUR8h4flJtxhr45xsA==" saltValue="9gxtxV9gbvimFs85eGEBaA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topLeftCell="A25" zoomScale="90" zoomScaleNormal="90" zoomScaleSheetLayoutView="90" workbookViewId="0">
      <selection activeCell="A3" sqref="A3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37" t="str">
        <f>'Salary Detail'!A1</f>
        <v>UNM HEALTH SCIENCES CENTER</v>
      </c>
      <c r="N1" s="826" t="s">
        <v>367</v>
      </c>
      <c r="O1" s="953"/>
      <c r="P1" s="953"/>
      <c r="Q1" s="954"/>
      <c r="R1" s="563"/>
      <c r="S1" s="563"/>
    </row>
    <row r="2" spans="1:34" ht="12.95" customHeight="1" thickBot="1" x14ac:dyDescent="0.25">
      <c r="B2" s="9"/>
      <c r="C2" s="9"/>
      <c r="D2" s="9"/>
      <c r="E2" s="9"/>
      <c r="F2" s="958" t="s">
        <v>211</v>
      </c>
      <c r="G2" s="856"/>
      <c r="H2" s="856"/>
      <c r="L2" s="655"/>
      <c r="N2" s="829" t="s">
        <v>368</v>
      </c>
      <c r="O2" s="955"/>
      <c r="P2" s="955"/>
      <c r="Q2" s="956"/>
      <c r="R2" s="562"/>
      <c r="S2" s="562"/>
    </row>
    <row r="3" spans="1:34" ht="42.75" customHeight="1" thickBot="1" x14ac:dyDescent="0.25">
      <c r="A3" s="809" t="str">
        <f>+'Salary Detail'!A3</f>
        <v xml:space="preserve">  NON FEDERAL/ NON Standard F&amp;A Revised 3/18/2022</v>
      </c>
      <c r="B3" s="9"/>
      <c r="C3" s="9"/>
      <c r="D3" s="9"/>
      <c r="E3" s="9"/>
      <c r="F3" s="596"/>
      <c r="G3" s="595"/>
      <c r="H3" s="595"/>
      <c r="L3" s="962" t="s">
        <v>316</v>
      </c>
      <c r="N3" s="829"/>
      <c r="O3" s="955"/>
      <c r="P3" s="955"/>
      <c r="Q3" s="956"/>
      <c r="R3" s="562"/>
      <c r="S3" s="562"/>
    </row>
    <row r="4" spans="1:34" ht="13.5" customHeight="1" x14ac:dyDescent="0.2">
      <c r="B4" s="11" t="s">
        <v>6</v>
      </c>
      <c r="C4" s="11"/>
      <c r="D4" s="656">
        <f>'Salary Detail'!E5</f>
        <v>0</v>
      </c>
      <c r="E4" s="657"/>
      <c r="F4" s="657"/>
      <c r="G4" s="657"/>
      <c r="H4" s="658"/>
      <c r="I4" s="160"/>
      <c r="J4" s="43"/>
      <c r="L4" s="963"/>
      <c r="M4" s="424"/>
      <c r="N4" s="834"/>
      <c r="O4" s="957"/>
      <c r="P4" s="566" t="s">
        <v>374</v>
      </c>
      <c r="Q4" s="566" t="s">
        <v>375</v>
      </c>
      <c r="R4" s="563"/>
      <c r="S4" s="563"/>
    </row>
    <row r="5" spans="1:34" ht="18" customHeight="1" x14ac:dyDescent="0.2">
      <c r="B5" s="43" t="s">
        <v>8</v>
      </c>
      <c r="D5" s="656">
        <f>'Salary Detail'!E6</f>
        <v>0</v>
      </c>
      <c r="E5" s="659"/>
      <c r="F5" s="659"/>
      <c r="G5" s="659"/>
      <c r="H5" s="660"/>
      <c r="I5"/>
      <c r="J5"/>
      <c r="K5"/>
      <c r="L5" s="964"/>
      <c r="M5" s="424"/>
      <c r="N5" s="674"/>
      <c r="O5" s="575" t="s">
        <v>388</v>
      </c>
      <c r="P5" s="567" t="s">
        <v>376</v>
      </c>
      <c r="Q5" s="568" t="s">
        <v>376</v>
      </c>
      <c r="R5" s="564"/>
      <c r="S5" s="565"/>
    </row>
    <row r="6" spans="1:34" ht="18" customHeight="1" thickBot="1" x14ac:dyDescent="0.25">
      <c r="B6" s="71" t="s">
        <v>122</v>
      </c>
      <c r="C6" s="11"/>
      <c r="D6" s="656">
        <f>'Salary Detail'!E7</f>
        <v>0</v>
      </c>
      <c r="E6" s="657"/>
      <c r="F6" s="657"/>
      <c r="G6" s="657"/>
      <c r="H6" s="660"/>
      <c r="I6" s="671" t="s">
        <v>395</v>
      </c>
      <c r="J6" s="672"/>
      <c r="L6" s="661">
        <f>'Salary Detail'!T64+'Salary Detail'!S119+'Salary Detail'!T119+'Salary Detail'!S173+'Salary Detail'!T173+'Salary Detail'!S229+'Salary Detail'!T229+'Salary Detail'!S283+'Salary Detail'!T283+'Salary Detail'!S337</f>
        <v>0</v>
      </c>
      <c r="N6" s="824" t="s">
        <v>369</v>
      </c>
      <c r="O6" s="965"/>
      <c r="P6" s="570" t="s">
        <v>378</v>
      </c>
      <c r="Q6" s="568" t="s">
        <v>379</v>
      </c>
      <c r="R6" s="565"/>
      <c r="S6" s="565"/>
    </row>
    <row r="7" spans="1:34" ht="18" customHeight="1" thickTop="1" thickBot="1" x14ac:dyDescent="0.3">
      <c r="B7" s="11" t="s">
        <v>10</v>
      </c>
      <c r="C7" s="11"/>
      <c r="D7" s="656">
        <f>'Salary Detail'!E8</f>
        <v>0</v>
      </c>
      <c r="E7" s="657"/>
      <c r="F7" s="657"/>
      <c r="G7" s="657"/>
      <c r="H7" s="660"/>
      <c r="I7" s="673"/>
      <c r="J7" s="968" t="s">
        <v>396</v>
      </c>
      <c r="K7" s="969"/>
      <c r="L7" s="960" t="s">
        <v>296</v>
      </c>
      <c r="N7" s="824" t="s">
        <v>370</v>
      </c>
      <c r="O7" s="965"/>
      <c r="P7" s="571" t="s">
        <v>385</v>
      </c>
      <c r="Q7" s="568" t="s">
        <v>379</v>
      </c>
      <c r="R7" s="564"/>
      <c r="S7" s="565"/>
    </row>
    <row r="8" spans="1:34" ht="18" customHeight="1" thickTop="1" x14ac:dyDescent="0.2">
      <c r="A8" s="43"/>
      <c r="B8" s="71" t="s">
        <v>182</v>
      </c>
      <c r="D8" s="141">
        <f>ROUNDUP(totalyrs,0)</f>
        <v>1</v>
      </c>
      <c r="J8" s="43"/>
      <c r="L8" s="961"/>
      <c r="N8" s="824" t="s">
        <v>371</v>
      </c>
      <c r="O8" s="965"/>
      <c r="P8" s="571" t="s">
        <v>386</v>
      </c>
      <c r="Q8" s="568" t="s">
        <v>379</v>
      </c>
      <c r="R8" s="565"/>
      <c r="S8" s="565"/>
    </row>
    <row r="9" spans="1:34" ht="15" customHeight="1" x14ac:dyDescent="0.2">
      <c r="A9" s="43"/>
      <c r="B9" s="71"/>
      <c r="D9" s="462"/>
      <c r="J9" s="43"/>
      <c r="L9" s="597"/>
      <c r="N9" s="824" t="s">
        <v>372</v>
      </c>
      <c r="O9" s="965"/>
      <c r="P9" s="571" t="s">
        <v>380</v>
      </c>
      <c r="Q9" s="568" t="s">
        <v>382</v>
      </c>
      <c r="R9" s="565"/>
      <c r="S9" s="565"/>
    </row>
    <row r="10" spans="1:34" ht="15" customHeight="1" x14ac:dyDescent="0.2">
      <c r="A10" s="43"/>
      <c r="B10" s="71"/>
      <c r="D10" s="462"/>
      <c r="J10" s="43"/>
      <c r="L10" s="597"/>
      <c r="N10" s="824" t="s">
        <v>390</v>
      </c>
      <c r="O10" s="965"/>
      <c r="P10" s="571" t="s">
        <v>381</v>
      </c>
      <c r="Q10" s="568" t="s">
        <v>389</v>
      </c>
      <c r="R10" s="565"/>
      <c r="S10" s="565"/>
    </row>
    <row r="11" spans="1:34" ht="15.95" customHeight="1" thickBot="1" x14ac:dyDescent="0.25">
      <c r="A11" s="463"/>
      <c r="B11" s="71"/>
      <c r="D11" s="462"/>
      <c r="J11" s="43"/>
      <c r="L11" s="597"/>
      <c r="N11" s="966" t="s">
        <v>387</v>
      </c>
      <c r="O11" s="967"/>
      <c r="P11" s="569"/>
      <c r="Q11" s="572">
        <v>9.7500000000000003E-2</v>
      </c>
      <c r="R11" s="565"/>
      <c r="S11" s="565"/>
    </row>
    <row r="12" spans="1:34" ht="15.75" customHeight="1" thickBot="1" x14ac:dyDescent="0.35">
      <c r="A12" s="506" t="s">
        <v>342</v>
      </c>
      <c r="B12" s="464" t="s">
        <v>350</v>
      </c>
      <c r="C12" s="662"/>
      <c r="N12" s="959" t="s">
        <v>77</v>
      </c>
      <c r="O12" s="959"/>
      <c r="P12" s="959"/>
      <c r="Q12" s="959"/>
      <c r="R12" s="959"/>
      <c r="S12" s="959"/>
      <c r="T12" s="959"/>
      <c r="U12" s="959"/>
      <c r="V12" s="959"/>
      <c r="W12" s="959"/>
      <c r="X12" s="676"/>
      <c r="Y12" s="676"/>
      <c r="Z12" s="676"/>
      <c r="AA12" s="676"/>
      <c r="AB12" s="676"/>
      <c r="AC12" s="676"/>
      <c r="AD12" s="676"/>
      <c r="AE12" s="676"/>
      <c r="AF12" s="676"/>
      <c r="AG12" s="676"/>
      <c r="AH12" s="676"/>
    </row>
    <row r="13" spans="1:34" ht="18.95" customHeight="1" thickTop="1" thickBot="1" x14ac:dyDescent="0.3">
      <c r="A13" s="32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33" t="str">
        <f t="shared" ref="N13:W13" si="0">B13</f>
        <v>Year 1</v>
      </c>
      <c r="O13" s="733" t="str">
        <f t="shared" si="0"/>
        <v>Year 2</v>
      </c>
      <c r="P13" s="733" t="str">
        <f t="shared" si="0"/>
        <v>Year 3</v>
      </c>
      <c r="Q13" s="733" t="str">
        <f t="shared" si="0"/>
        <v>Year 4</v>
      </c>
      <c r="R13" s="733" t="str">
        <f t="shared" si="0"/>
        <v>Year 5</v>
      </c>
      <c r="S13" s="733" t="str">
        <f t="shared" si="0"/>
        <v>Year 6</v>
      </c>
      <c r="T13" s="733" t="str">
        <f t="shared" si="0"/>
        <v>Year 7</v>
      </c>
      <c r="U13" s="733" t="str">
        <f t="shared" si="0"/>
        <v>Year 8</v>
      </c>
      <c r="V13" s="733" t="str">
        <f t="shared" si="0"/>
        <v>Year 9</v>
      </c>
      <c r="W13" s="733" t="str">
        <f t="shared" si="0"/>
        <v>Year 10</v>
      </c>
      <c r="X13" s="734"/>
      <c r="Y13" s="734"/>
      <c r="Z13" s="734"/>
      <c r="AA13" s="734"/>
      <c r="AB13" s="734"/>
      <c r="AC13" s="734"/>
      <c r="AD13" s="734"/>
      <c r="AE13" s="676"/>
      <c r="AF13" s="676"/>
      <c r="AG13" s="676"/>
      <c r="AH13" s="676"/>
    </row>
    <row r="14" spans="1:34" ht="17.100000000000001" customHeight="1" thickTop="1" x14ac:dyDescent="0.2">
      <c r="A14" s="324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4"/>
      <c r="Y14" s="734"/>
      <c r="Z14" s="734"/>
      <c r="AA14" s="734"/>
      <c r="AB14" s="734"/>
      <c r="AC14" s="734"/>
      <c r="AD14" s="734"/>
      <c r="AE14" s="676"/>
      <c r="AF14" s="676"/>
      <c r="AG14" s="676"/>
      <c r="AH14" s="676"/>
    </row>
    <row r="15" spans="1:34" ht="17.100000000000001" customHeight="1" x14ac:dyDescent="0.2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35"/>
      <c r="O15" s="735"/>
      <c r="P15" s="735"/>
      <c r="Q15" s="734"/>
      <c r="R15" s="734"/>
      <c r="S15" s="734"/>
      <c r="T15" s="734"/>
      <c r="U15" s="734"/>
      <c r="V15" s="734"/>
      <c r="W15" s="734"/>
      <c r="X15" s="734"/>
      <c r="Y15" s="734"/>
      <c r="Z15" s="734"/>
      <c r="AA15" s="734"/>
      <c r="AB15" s="734"/>
      <c r="AC15" s="734"/>
      <c r="AD15" s="734"/>
      <c r="AE15" s="676"/>
      <c r="AF15" s="676"/>
      <c r="AG15" s="676"/>
      <c r="AH15" s="676"/>
    </row>
    <row r="16" spans="1:34" ht="17.100000000000001" customHeight="1" x14ac:dyDescent="0.2">
      <c r="A16" s="325" t="s">
        <v>234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23">
        <v>0.03</v>
      </c>
      <c r="N16" s="735" t="s">
        <v>170</v>
      </c>
      <c r="O16" s="735"/>
      <c r="P16" s="735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676"/>
      <c r="AF16" s="676"/>
      <c r="AG16" s="676"/>
      <c r="AH16" s="676"/>
    </row>
    <row r="17" spans="1:34" ht="17.100000000000001" customHeight="1" x14ac:dyDescent="0.2">
      <c r="A17" s="663" t="s">
        <v>88</v>
      </c>
      <c r="B17" s="557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9" t="s">
        <v>236</v>
      </c>
      <c r="N17" s="735"/>
      <c r="O17" s="735"/>
      <c r="P17" s="735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676"/>
      <c r="AF17" s="676"/>
      <c r="AG17" s="676"/>
      <c r="AH17" s="676"/>
    </row>
    <row r="18" spans="1:34" ht="17.100000000000001" customHeight="1" x14ac:dyDescent="0.2">
      <c r="A18" s="664" t="s">
        <v>235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/>
      <c r="N18" s="735">
        <f>IF('Salary Detail'!F19="X",-B18,0)</f>
        <v>0</v>
      </c>
      <c r="O18" s="735">
        <f>IF('Salary Detail'!F19="X",-C18,0)</f>
        <v>0</v>
      </c>
      <c r="P18" s="735">
        <f>IF('Salary Detail'!F19="X",-D18,0)</f>
        <v>0</v>
      </c>
      <c r="Q18" s="735">
        <f>IF('Salary Detail'!F19="X",-E18,0)</f>
        <v>0</v>
      </c>
      <c r="R18" s="735">
        <f>IF('Salary Detail'!F19="X",-F18,0)</f>
        <v>0</v>
      </c>
      <c r="S18" s="735">
        <f>IF('Salary Detail'!F19="X",-G18,0)</f>
        <v>0</v>
      </c>
      <c r="T18" s="735">
        <f>IF('Salary Detail'!F19="X",-H18,0)</f>
        <v>0</v>
      </c>
      <c r="U18" s="735">
        <f>IF('Salary Detail'!F19="X",-I18,0)</f>
        <v>0</v>
      </c>
      <c r="V18" s="735">
        <f>IF('Salary Detail'!F19="X",-J18,0)</f>
        <v>0</v>
      </c>
      <c r="W18" s="735">
        <f>IF('Salary Detail'!F19="X",-K18,0)</f>
        <v>0</v>
      </c>
      <c r="X18" s="734"/>
      <c r="Y18" s="734"/>
      <c r="Z18" s="734"/>
      <c r="AA18" s="734"/>
      <c r="AB18" s="734"/>
      <c r="AC18" s="734"/>
      <c r="AD18" s="734"/>
      <c r="AE18" s="676"/>
      <c r="AF18" s="676"/>
      <c r="AG18" s="676"/>
      <c r="AH18" s="676"/>
    </row>
    <row r="19" spans="1:34" ht="17.100000000000001" customHeight="1" x14ac:dyDescent="0.2">
      <c r="A19" s="665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34"/>
      <c r="O19" s="735"/>
      <c r="P19" s="735"/>
      <c r="Q19" s="734"/>
      <c r="R19" s="734"/>
      <c r="S19" s="734"/>
      <c r="T19" s="734"/>
      <c r="U19" s="734"/>
      <c r="V19" s="734"/>
      <c r="W19" s="734"/>
      <c r="X19" s="734"/>
      <c r="Y19" s="734"/>
      <c r="Z19" s="734"/>
      <c r="AA19" s="734"/>
      <c r="AB19" s="734"/>
      <c r="AC19" s="734"/>
      <c r="AD19" s="734"/>
      <c r="AE19" s="676"/>
      <c r="AF19" s="676"/>
      <c r="AG19" s="676"/>
      <c r="AH19" s="676"/>
    </row>
    <row r="20" spans="1:34" ht="17.100000000000001" customHeight="1" x14ac:dyDescent="0.2">
      <c r="A20" s="665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35"/>
      <c r="O20" s="735"/>
      <c r="P20" s="735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676"/>
      <c r="AF20" s="676"/>
      <c r="AG20" s="676"/>
      <c r="AH20" s="676"/>
    </row>
    <row r="21" spans="1:34" ht="17.100000000000001" customHeight="1" x14ac:dyDescent="0.2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/>
      <c r="N21" s="735">
        <f>IF('Salary Detail'!F19="X",-B21,0)</f>
        <v>0</v>
      </c>
      <c r="O21" s="735">
        <f>IF('Salary Detail'!F19="X",-C21,0)</f>
        <v>0</v>
      </c>
      <c r="P21" s="735">
        <f>IF('Salary Detail'!F19="X",-D21,0)</f>
        <v>0</v>
      </c>
      <c r="Q21" s="735">
        <f>IF('Salary Detail'!F19="X",-E21,0)</f>
        <v>0</v>
      </c>
      <c r="R21" s="735">
        <f>IF('Salary Detail'!F19="X",-F21,0)</f>
        <v>0</v>
      </c>
      <c r="S21" s="735">
        <f>IF('Salary Detail'!F19="X",-G21,0)</f>
        <v>0</v>
      </c>
      <c r="T21" s="735">
        <f>IF('Salary Detail'!F19="X",-H21,0)</f>
        <v>0</v>
      </c>
      <c r="U21" s="735">
        <f>IF('Salary Detail'!F19="X",-I21,0)</f>
        <v>0</v>
      </c>
      <c r="V21" s="735">
        <f>IF('Salary Detail'!F19="X",-J21,0)</f>
        <v>0</v>
      </c>
      <c r="W21" s="735">
        <f>IF('Salary Detail'!F19="X",-K21,0)</f>
        <v>0</v>
      </c>
      <c r="X21" s="734"/>
      <c r="Y21" s="734"/>
      <c r="Z21" s="734"/>
      <c r="AA21" s="734"/>
      <c r="AB21" s="734"/>
      <c r="AC21" s="734"/>
      <c r="AD21" s="734"/>
      <c r="AE21" s="676"/>
      <c r="AF21" s="676"/>
      <c r="AG21" s="676"/>
      <c r="AH21" s="676"/>
    </row>
    <row r="22" spans="1:34" ht="17.100000000000001" customHeight="1" x14ac:dyDescent="0.2">
      <c r="A22" s="230" t="s">
        <v>434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4"/>
      <c r="Y22" s="734"/>
      <c r="Z22" s="734"/>
      <c r="AA22" s="734"/>
      <c r="AB22" s="734"/>
      <c r="AC22" s="734"/>
      <c r="AD22" s="734"/>
      <c r="AE22" s="676"/>
      <c r="AF22" s="676"/>
      <c r="AG22" s="676"/>
      <c r="AH22" s="676"/>
    </row>
    <row r="23" spans="1:34" ht="17.100000000000001" customHeight="1" x14ac:dyDescent="0.2">
      <c r="A23" s="665" t="s">
        <v>260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/>
      <c r="N23" s="735">
        <f>IF('Salary Detail'!F19="X",-B23,0)</f>
        <v>0</v>
      </c>
      <c r="O23" s="735">
        <f>IF('Salary Detail'!F19="X",-C23,0)</f>
        <v>0</v>
      </c>
      <c r="P23" s="735">
        <f>IF('Salary Detail'!F19="X",-D23,0)</f>
        <v>0</v>
      </c>
      <c r="Q23" s="735">
        <f>IF('Salary Detail'!F19="X",-E23,0)</f>
        <v>0</v>
      </c>
      <c r="R23" s="735">
        <f>IF('Salary Detail'!F19="X",-F23,0)</f>
        <v>0</v>
      </c>
      <c r="S23" s="735">
        <f>IF('Salary Detail'!F19="X",-G23,0)</f>
        <v>0</v>
      </c>
      <c r="T23" s="735">
        <f>IF('Salary Detail'!F19="X",-H23,0)</f>
        <v>0</v>
      </c>
      <c r="U23" s="735">
        <f>IF('Salary Detail'!F19="X",-I23,0)</f>
        <v>0</v>
      </c>
      <c r="V23" s="735">
        <f>IF('Salary Detail'!F19="X",-J23,0)</f>
        <v>0</v>
      </c>
      <c r="W23" s="735">
        <f>IF('Salary Detail'!F19="X",-K23,0)</f>
        <v>0</v>
      </c>
      <c r="X23" s="734"/>
      <c r="Y23" s="734"/>
      <c r="Z23" s="734"/>
      <c r="AA23" s="734"/>
      <c r="AB23" s="734"/>
      <c r="AC23" s="734"/>
      <c r="AD23" s="734"/>
      <c r="AE23" s="676"/>
      <c r="AF23" s="676"/>
      <c r="AG23" s="676"/>
      <c r="AH23" s="676"/>
    </row>
    <row r="24" spans="1:34" ht="17.100000000000001" customHeight="1" x14ac:dyDescent="0.2">
      <c r="A24" s="664" t="s">
        <v>237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186"/>
      <c r="M24" s="16"/>
      <c r="N24" s="735"/>
      <c r="O24" s="735"/>
      <c r="P24" s="735"/>
      <c r="Q24" s="735"/>
      <c r="R24" s="735"/>
      <c r="S24" s="735"/>
      <c r="T24" s="735"/>
      <c r="U24" s="735"/>
      <c r="V24" s="735"/>
      <c r="W24" s="735"/>
      <c r="X24" s="734"/>
      <c r="Y24" s="734"/>
      <c r="Z24" s="734"/>
      <c r="AA24" s="734"/>
      <c r="AB24" s="734"/>
      <c r="AC24" s="734"/>
      <c r="AD24" s="734"/>
      <c r="AE24" s="676"/>
      <c r="AF24" s="676"/>
      <c r="AG24" s="676"/>
      <c r="AH24" s="676"/>
    </row>
    <row r="25" spans="1:34" ht="17.100000000000001" customHeight="1" x14ac:dyDescent="0.2">
      <c r="A25" s="327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35"/>
      <c r="O25" s="735"/>
      <c r="P25" s="735"/>
      <c r="Q25" s="735"/>
      <c r="R25" s="735"/>
      <c r="S25" s="735"/>
      <c r="T25" s="735"/>
      <c r="U25" s="735"/>
      <c r="V25" s="735"/>
      <c r="W25" s="735"/>
      <c r="X25" s="734"/>
      <c r="Y25" s="734"/>
      <c r="Z25" s="734"/>
      <c r="AA25" s="734"/>
      <c r="AB25" s="734"/>
      <c r="AC25" s="734"/>
      <c r="AD25" s="734"/>
      <c r="AE25" s="676"/>
      <c r="AF25" s="676"/>
      <c r="AG25" s="676"/>
      <c r="AH25" s="676"/>
    </row>
    <row r="26" spans="1:34" ht="17.100000000000001" customHeight="1" x14ac:dyDescent="0.2">
      <c r="A26" s="328" t="s">
        <v>209</v>
      </c>
      <c r="B26" s="807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35"/>
      <c r="O26" s="735"/>
      <c r="P26" s="735"/>
      <c r="Q26" s="735"/>
      <c r="R26" s="735"/>
      <c r="S26" s="735"/>
      <c r="T26" s="735"/>
      <c r="U26" s="735"/>
      <c r="V26" s="735"/>
      <c r="W26" s="735"/>
      <c r="X26" s="734"/>
      <c r="Y26" s="734"/>
      <c r="Z26" s="734"/>
      <c r="AA26" s="734"/>
      <c r="AB26" s="734"/>
      <c r="AC26" s="734"/>
      <c r="AD26" s="734"/>
      <c r="AE26" s="676"/>
      <c r="AF26" s="676"/>
      <c r="AG26" s="676"/>
      <c r="AH26" s="676"/>
    </row>
    <row r="27" spans="1:34" ht="17.100000000000001" customHeight="1" x14ac:dyDescent="0.2">
      <c r="A27" s="329" t="s">
        <v>238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35"/>
      <c r="O27" s="735"/>
      <c r="P27" s="735"/>
      <c r="Q27" s="735"/>
      <c r="R27" s="735"/>
      <c r="S27" s="735"/>
      <c r="T27" s="735"/>
      <c r="U27" s="735"/>
      <c r="V27" s="735"/>
      <c r="W27" s="735"/>
      <c r="X27" s="734"/>
      <c r="Y27" s="733" t="s">
        <v>89</v>
      </c>
      <c r="Z27" s="733" t="s">
        <v>90</v>
      </c>
      <c r="AA27" s="733" t="s">
        <v>91</v>
      </c>
      <c r="AB27" s="733" t="s">
        <v>92</v>
      </c>
      <c r="AC27" s="733" t="s">
        <v>165</v>
      </c>
      <c r="AD27" s="733" t="s">
        <v>166</v>
      </c>
      <c r="AE27" s="677" t="s">
        <v>167</v>
      </c>
      <c r="AF27" s="677" t="s">
        <v>168</v>
      </c>
      <c r="AG27" s="677" t="s">
        <v>169</v>
      </c>
      <c r="AH27" s="676"/>
    </row>
    <row r="28" spans="1:34" ht="17.100000000000001" customHeight="1" x14ac:dyDescent="0.2">
      <c r="A28" s="329" t="s">
        <v>239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35"/>
      <c r="O28" s="735"/>
      <c r="P28" s="735"/>
      <c r="Q28" s="735"/>
      <c r="R28" s="735"/>
      <c r="S28" s="735"/>
      <c r="T28" s="735"/>
      <c r="U28" s="735"/>
      <c r="V28" s="735"/>
      <c r="W28" s="735"/>
      <c r="X28" s="734"/>
      <c r="Y28" s="733"/>
      <c r="Z28" s="733"/>
      <c r="AA28" s="733"/>
      <c r="AB28" s="733"/>
      <c r="AC28" s="733"/>
      <c r="AD28" s="733"/>
      <c r="AE28" s="677"/>
      <c r="AF28" s="677"/>
      <c r="AG28" s="677"/>
      <c r="AH28" s="676"/>
    </row>
    <row r="29" spans="1:34" ht="17.100000000000001" customHeight="1" x14ac:dyDescent="0.2">
      <c r="A29" s="329" t="s">
        <v>354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4"/>
      <c r="Y29" s="733"/>
      <c r="Z29" s="733"/>
      <c r="AA29" s="733"/>
      <c r="AB29" s="733"/>
      <c r="AC29" s="733"/>
      <c r="AD29" s="733"/>
      <c r="AE29" s="677"/>
      <c r="AF29" s="677"/>
      <c r="AG29" s="677"/>
      <c r="AH29" s="676"/>
    </row>
    <row r="30" spans="1:34" ht="17.100000000000001" customHeight="1" x14ac:dyDescent="0.2">
      <c r="A30" s="329" t="s">
        <v>240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35"/>
      <c r="O30" s="735"/>
      <c r="P30" s="735"/>
      <c r="Q30" s="735"/>
      <c r="R30" s="735"/>
      <c r="S30" s="735"/>
      <c r="T30" s="735"/>
      <c r="U30" s="735"/>
      <c r="V30" s="735"/>
      <c r="W30" s="735"/>
      <c r="X30" s="734"/>
      <c r="Y30" s="733"/>
      <c r="Z30" s="733"/>
      <c r="AA30" s="733"/>
      <c r="AB30" s="733"/>
      <c r="AC30" s="733"/>
      <c r="AD30" s="733"/>
      <c r="AE30" s="677"/>
      <c r="AF30" s="677"/>
      <c r="AG30" s="677"/>
      <c r="AH30" s="676"/>
    </row>
    <row r="31" spans="1:34" ht="17.100000000000001" customHeight="1" x14ac:dyDescent="0.2">
      <c r="A31" s="330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/>
      <c r="N31" s="735">
        <f>IF('Salary Detail'!F19="X",-B31,0)</f>
        <v>0</v>
      </c>
      <c r="O31" s="735">
        <f>IF('Salary Detail'!F19="X",-C31,0)</f>
        <v>0</v>
      </c>
      <c r="P31" s="735">
        <f>IF('Salary Detail'!F19="X",-D31,0)</f>
        <v>0</v>
      </c>
      <c r="Q31" s="735">
        <f>IF('Salary Detail'!F19="X",-E31,0)</f>
        <v>0</v>
      </c>
      <c r="R31" s="735">
        <f>IF('Salary Detail'!F19="X",-F31,0)</f>
        <v>0</v>
      </c>
      <c r="S31" s="735">
        <f>IF('Salary Detail'!F19="X",-G31,0)</f>
        <v>0</v>
      </c>
      <c r="T31" s="735">
        <f>IF('Salary Detail'!F19="X",-H31,0)</f>
        <v>0</v>
      </c>
      <c r="U31" s="735">
        <f>IF('Salary Detail'!F19="X",-I31,0)</f>
        <v>0</v>
      </c>
      <c r="V31" s="735">
        <f>IF('Salary Detail'!F19="X",-J31,0)</f>
        <v>0</v>
      </c>
      <c r="W31" s="735">
        <f>IF('Salary Detail'!F19="X",-K31,0)</f>
        <v>0</v>
      </c>
      <c r="X31" s="734"/>
      <c r="Y31" s="734"/>
      <c r="Z31" s="734"/>
      <c r="AA31" s="734"/>
      <c r="AB31" s="734"/>
      <c r="AC31" s="734"/>
      <c r="AD31" s="734"/>
      <c r="AE31" s="676"/>
      <c r="AF31" s="676"/>
      <c r="AG31" s="676"/>
      <c r="AH31" s="676"/>
    </row>
    <row r="32" spans="1:34" ht="17.100000000000001" customHeight="1" x14ac:dyDescent="0.2">
      <c r="A32" s="330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/>
      <c r="N32" s="735">
        <f>IF('Salary Detail'!F19="X",-B32,0)</f>
        <v>0</v>
      </c>
      <c r="O32" s="735">
        <f>IF('Salary Detail'!F19="X",-C32,0)</f>
        <v>0</v>
      </c>
      <c r="P32" s="735">
        <f>IF('Salary Detail'!F19="X",-D32,0)</f>
        <v>0</v>
      </c>
      <c r="Q32" s="735">
        <f>IF('Salary Detail'!F19="X",-E32,0)</f>
        <v>0</v>
      </c>
      <c r="R32" s="735">
        <f>IF('Salary Detail'!F19="X",-F32,0)</f>
        <v>0</v>
      </c>
      <c r="S32" s="735">
        <f>IF('Salary Detail'!F19="X",-G32,0)</f>
        <v>0</v>
      </c>
      <c r="T32" s="735">
        <f>IF('Salary Detail'!F19="X",-H32,0)</f>
        <v>0</v>
      </c>
      <c r="U32" s="735">
        <f>IF('Salary Detail'!F19="X",-I32,0)</f>
        <v>0</v>
      </c>
      <c r="V32" s="735">
        <f>IF('Salary Detail'!F19="X",-J32,0)</f>
        <v>0</v>
      </c>
      <c r="W32" s="735">
        <f>IF('Salary Detail'!F19="X",-K32,0)</f>
        <v>0</v>
      </c>
      <c r="X32" s="734"/>
      <c r="Y32" s="734"/>
      <c r="Z32" s="734"/>
      <c r="AA32" s="734"/>
      <c r="AB32" s="734"/>
      <c r="AC32" s="734"/>
      <c r="AD32" s="734"/>
      <c r="AE32" s="676"/>
      <c r="AF32" s="676"/>
      <c r="AG32" s="676"/>
      <c r="AH32" s="676"/>
    </row>
    <row r="33" spans="1:34" ht="17.100000000000001" customHeight="1" x14ac:dyDescent="0.2">
      <c r="A33" s="331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/>
      <c r="N33" s="735">
        <f>IF('Salary Detail'!F19="X",-B33,0)</f>
        <v>0</v>
      </c>
      <c r="O33" s="735">
        <f>IF('Salary Detail'!F19="X",-C33,0)</f>
        <v>0</v>
      </c>
      <c r="P33" s="735">
        <f>IF('Salary Detail'!F19="X",-D33,0)</f>
        <v>0</v>
      </c>
      <c r="Q33" s="735">
        <f>IF('Salary Detail'!F19="X",-E33,0)</f>
        <v>0</v>
      </c>
      <c r="R33" s="735">
        <f>IF('Salary Detail'!F19="X",-F33,0)</f>
        <v>0</v>
      </c>
      <c r="S33" s="735">
        <f>IF('Salary Detail'!F19="X",-G33,0)</f>
        <v>0</v>
      </c>
      <c r="T33" s="735">
        <f>IF('Salary Detail'!F19="X",-H33,0)</f>
        <v>0</v>
      </c>
      <c r="U33" s="735">
        <f>IF('Salary Detail'!F19="X",-I33,0)</f>
        <v>0</v>
      </c>
      <c r="V33" s="735">
        <f>IF('Salary Detail'!F19="X",-J33,0)</f>
        <v>0</v>
      </c>
      <c r="W33" s="735">
        <f>IF('Salary Detail'!F19="X",-K33,0)</f>
        <v>0</v>
      </c>
      <c r="X33" s="734"/>
      <c r="Y33" s="733" t="s">
        <v>94</v>
      </c>
      <c r="Z33" s="733" t="s">
        <v>95</v>
      </c>
      <c r="AA33" s="733" t="s">
        <v>96</v>
      </c>
      <c r="AB33" s="733" t="s">
        <v>97</v>
      </c>
      <c r="AC33" s="733" t="s">
        <v>160</v>
      </c>
      <c r="AD33" s="733" t="s">
        <v>161</v>
      </c>
      <c r="AE33" s="677" t="s">
        <v>162</v>
      </c>
      <c r="AF33" s="677" t="s">
        <v>163</v>
      </c>
      <c r="AG33" s="677" t="s">
        <v>164</v>
      </c>
      <c r="AH33" s="676"/>
    </row>
    <row r="34" spans="1:34" ht="17.100000000000001" customHeight="1" x14ac:dyDescent="0.2">
      <c r="A34" s="332" t="s">
        <v>241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35"/>
      <c r="O34" s="735"/>
      <c r="P34" s="735"/>
      <c r="Q34" s="735"/>
      <c r="R34" s="735"/>
      <c r="S34" s="735"/>
      <c r="T34" s="735"/>
      <c r="U34" s="735"/>
      <c r="V34" s="735"/>
      <c r="W34" s="735"/>
      <c r="X34" s="734"/>
      <c r="Y34" s="733"/>
      <c r="Z34" s="733"/>
      <c r="AA34" s="733"/>
      <c r="AB34" s="733"/>
      <c r="AC34" s="733"/>
      <c r="AD34" s="733"/>
      <c r="AE34" s="677"/>
      <c r="AF34" s="677"/>
      <c r="AG34" s="677"/>
      <c r="AH34" s="676"/>
    </row>
    <row r="35" spans="1:34" ht="17.100000000000001" customHeight="1" x14ac:dyDescent="0.2">
      <c r="A35" s="333" t="s">
        <v>242</v>
      </c>
      <c r="B35" s="334">
        <f t="shared" ref="B35:K35" si="20">SUM(B25:B34)</f>
        <v>0</v>
      </c>
      <c r="C35" s="334">
        <f t="shared" si="20"/>
        <v>0</v>
      </c>
      <c r="D35" s="334">
        <f t="shared" si="20"/>
        <v>0</v>
      </c>
      <c r="E35" s="334">
        <f t="shared" si="20"/>
        <v>0</v>
      </c>
      <c r="F35" s="334">
        <f t="shared" si="20"/>
        <v>0</v>
      </c>
      <c r="G35" s="334">
        <f t="shared" si="20"/>
        <v>0</v>
      </c>
      <c r="H35" s="334">
        <f t="shared" si="20"/>
        <v>0</v>
      </c>
      <c r="I35" s="334">
        <f t="shared" si="20"/>
        <v>0</v>
      </c>
      <c r="J35" s="334">
        <f t="shared" si="20"/>
        <v>0</v>
      </c>
      <c r="K35" s="334">
        <f t="shared" si="20"/>
        <v>0</v>
      </c>
      <c r="L35" s="334">
        <f>SUM(L25:L34)</f>
        <v>0</v>
      </c>
      <c r="M35" s="1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4"/>
      <c r="Y35" s="733"/>
      <c r="Z35" s="733"/>
      <c r="AA35" s="733"/>
      <c r="AB35" s="733"/>
      <c r="AC35" s="733"/>
      <c r="AD35" s="733"/>
      <c r="AE35" s="677"/>
      <c r="AF35" s="677"/>
      <c r="AG35" s="677"/>
      <c r="AH35" s="676"/>
    </row>
    <row r="36" spans="1:34" ht="17.100000000000001" customHeight="1" x14ac:dyDescent="0.2">
      <c r="A36" s="333" t="s">
        <v>365</v>
      </c>
      <c r="B36" s="334">
        <f>B16+(SUM(B17:B23))+B35</f>
        <v>0</v>
      </c>
      <c r="C36" s="334">
        <f t="shared" ref="C36:L36" si="21">+C16+(SUM(C17:C23))+C35</f>
        <v>0</v>
      </c>
      <c r="D36" s="334">
        <f t="shared" si="21"/>
        <v>0</v>
      </c>
      <c r="E36" s="334">
        <f t="shared" si="21"/>
        <v>0</v>
      </c>
      <c r="F36" s="334">
        <f t="shared" si="21"/>
        <v>0</v>
      </c>
      <c r="G36" s="334">
        <f t="shared" si="21"/>
        <v>0</v>
      </c>
      <c r="H36" s="334">
        <f t="shared" si="21"/>
        <v>0</v>
      </c>
      <c r="I36" s="334">
        <f t="shared" si="21"/>
        <v>0</v>
      </c>
      <c r="J36" s="334">
        <f t="shared" si="21"/>
        <v>0</v>
      </c>
      <c r="K36" s="334">
        <f t="shared" si="21"/>
        <v>0</v>
      </c>
      <c r="L36" s="334">
        <f t="shared" si="21"/>
        <v>0</v>
      </c>
      <c r="M36" s="16" t="s">
        <v>366</v>
      </c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4"/>
      <c r="Y36" s="733"/>
      <c r="Z36" s="733"/>
      <c r="AA36" s="733"/>
      <c r="AB36" s="733"/>
      <c r="AC36" s="733"/>
      <c r="AD36" s="733"/>
      <c r="AE36" s="677"/>
      <c r="AF36" s="677"/>
      <c r="AG36" s="677"/>
      <c r="AH36" s="676"/>
    </row>
    <row r="37" spans="1:34" ht="17.100000000000001" customHeight="1" x14ac:dyDescent="0.2">
      <c r="A37" s="166" t="s">
        <v>213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5">
        <v>100000000</v>
      </c>
      <c r="N37" s="735">
        <f>IF('Salary Detail'!F19="X",[3]Subcontracts!D63,0)</f>
        <v>0</v>
      </c>
      <c r="O37" s="735">
        <f>IF('Salary Detail'!F19="X",[3]Subcontracts!E63,0)</f>
        <v>0</v>
      </c>
      <c r="P37" s="735">
        <f>IF('Salary Detail'!F19="X",[3]Subcontracts!F63,0)</f>
        <v>0</v>
      </c>
      <c r="Q37" s="735">
        <f>IF('Salary Detail'!F19="X",[3]Subcontracts!G63,0)</f>
        <v>0</v>
      </c>
      <c r="R37" s="735">
        <f>IF('Salary Detail'!F19="X",[3]Subcontracts!H63,0)</f>
        <v>0</v>
      </c>
      <c r="S37" s="735">
        <f>IF('Salary Detail'!F19="X",[3]Subcontracts!I63,0)</f>
        <v>0</v>
      </c>
      <c r="T37" s="735">
        <f>IF('Salary Detail'!F19="X",[3]Subcontracts!J63,0)</f>
        <v>0</v>
      </c>
      <c r="U37" s="735">
        <f>IF('Salary Detail'!F19="X",[3]Subcontracts!K63,0)</f>
        <v>0</v>
      </c>
      <c r="V37" s="735">
        <f>IF('Salary Detail'!F19="X",[3]Subcontracts!L63,0)</f>
        <v>0</v>
      </c>
      <c r="W37" s="735">
        <f>IF('Salary Detail'!F19="X",[3]Subcontracts!M63,0)</f>
        <v>0</v>
      </c>
      <c r="X37" s="734"/>
      <c r="Y37" s="735">
        <f>B37+C37</f>
        <v>0</v>
      </c>
      <c r="Z37" s="735">
        <f t="shared" ref="Z37:AG37" si="22">D37+Y37</f>
        <v>0</v>
      </c>
      <c r="AA37" s="735">
        <f t="shared" si="22"/>
        <v>0</v>
      </c>
      <c r="AB37" s="735">
        <f t="shared" si="22"/>
        <v>0</v>
      </c>
      <c r="AC37" s="735">
        <f t="shared" si="22"/>
        <v>0</v>
      </c>
      <c r="AD37" s="735">
        <f t="shared" si="22"/>
        <v>0</v>
      </c>
      <c r="AE37" s="675">
        <f t="shared" si="22"/>
        <v>0</v>
      </c>
      <c r="AF37" s="675">
        <f t="shared" si="22"/>
        <v>0</v>
      </c>
      <c r="AG37" s="675">
        <f t="shared" si="22"/>
        <v>0</v>
      </c>
      <c r="AH37" s="676"/>
    </row>
    <row r="38" spans="1:34" ht="17.100000000000001" customHeight="1" x14ac:dyDescent="0.2">
      <c r="A38" s="527" t="s">
        <v>217</v>
      </c>
      <c r="B38" s="523">
        <f>SUM(B16:B23)+SUM(B35+B37)</f>
        <v>0</v>
      </c>
      <c r="C38" s="523">
        <f t="shared" ref="C38:K38" si="23">SUM(C16:C23)+SUM(C35+C37)</f>
        <v>0</v>
      </c>
      <c r="D38" s="523">
        <f t="shared" si="23"/>
        <v>0</v>
      </c>
      <c r="E38" s="523">
        <f t="shared" si="23"/>
        <v>0</v>
      </c>
      <c r="F38" s="523">
        <f t="shared" si="23"/>
        <v>0</v>
      </c>
      <c r="G38" s="523">
        <f t="shared" si="23"/>
        <v>0</v>
      </c>
      <c r="H38" s="523">
        <f t="shared" si="23"/>
        <v>0</v>
      </c>
      <c r="I38" s="523">
        <f t="shared" si="23"/>
        <v>0</v>
      </c>
      <c r="J38" s="523">
        <f t="shared" si="23"/>
        <v>0</v>
      </c>
      <c r="K38" s="523">
        <f t="shared" si="23"/>
        <v>0</v>
      </c>
      <c r="L38" s="525">
        <f>SUM(L16:L23)+L35+L37</f>
        <v>0</v>
      </c>
      <c r="M38" s="526" t="s">
        <v>351</v>
      </c>
      <c r="N38" s="735">
        <f t="shared" ref="N38:W38" si="24">SUM(N18:N37)</f>
        <v>0</v>
      </c>
      <c r="O38" s="735">
        <f t="shared" si="24"/>
        <v>0</v>
      </c>
      <c r="P38" s="735">
        <f t="shared" si="24"/>
        <v>0</v>
      </c>
      <c r="Q38" s="735">
        <f t="shared" si="24"/>
        <v>0</v>
      </c>
      <c r="R38" s="735">
        <f t="shared" si="24"/>
        <v>0</v>
      </c>
      <c r="S38" s="735">
        <f t="shared" si="24"/>
        <v>0</v>
      </c>
      <c r="T38" s="735">
        <f t="shared" si="24"/>
        <v>0</v>
      </c>
      <c r="U38" s="735">
        <f t="shared" si="24"/>
        <v>0</v>
      </c>
      <c r="V38" s="735">
        <f t="shared" si="24"/>
        <v>0</v>
      </c>
      <c r="W38" s="735">
        <f t="shared" si="24"/>
        <v>0</v>
      </c>
      <c r="X38" s="734"/>
      <c r="Y38" s="734"/>
      <c r="Z38" s="734"/>
      <c r="AA38" s="734"/>
      <c r="AB38" s="734"/>
      <c r="AC38" s="734"/>
      <c r="AD38" s="734"/>
      <c r="AE38" s="676"/>
      <c r="AF38" s="676"/>
      <c r="AG38" s="676"/>
      <c r="AH38" s="676"/>
    </row>
    <row r="39" spans="1:34" ht="17.100000000000001" customHeight="1" x14ac:dyDescent="0.2">
      <c r="A39" s="668" t="s">
        <v>394</v>
      </c>
      <c r="B39" s="669">
        <f t="shared" ref="B39:K39" si="25">IF(OR($I$7="x",$I$7="X"),25000*SUM(ROUND(SUM((B$16:B$23),(B$35+B$37))/25000,0)),0)</f>
        <v>0</v>
      </c>
      <c r="C39" s="669">
        <f t="shared" si="25"/>
        <v>0</v>
      </c>
      <c r="D39" s="669">
        <f t="shared" si="25"/>
        <v>0</v>
      </c>
      <c r="E39" s="669">
        <f t="shared" si="25"/>
        <v>0</v>
      </c>
      <c r="F39" s="669">
        <f t="shared" si="25"/>
        <v>0</v>
      </c>
      <c r="G39" s="669">
        <f t="shared" si="25"/>
        <v>0</v>
      </c>
      <c r="H39" s="669">
        <f t="shared" si="25"/>
        <v>0</v>
      </c>
      <c r="I39" s="669">
        <f t="shared" si="25"/>
        <v>0</v>
      </c>
      <c r="J39" s="669">
        <f t="shared" si="25"/>
        <v>0</v>
      </c>
      <c r="K39" s="669">
        <f t="shared" si="25"/>
        <v>0</v>
      </c>
      <c r="L39" s="670">
        <f>SUM(B39:K39)</f>
        <v>0</v>
      </c>
      <c r="M39" s="526"/>
      <c r="N39" s="735"/>
      <c r="O39" s="735"/>
      <c r="P39" s="735"/>
      <c r="Q39" s="735"/>
      <c r="R39" s="735"/>
      <c r="S39" s="735"/>
      <c r="T39" s="735"/>
      <c r="U39" s="735"/>
      <c r="V39" s="735"/>
      <c r="W39" s="735"/>
      <c r="X39" s="734"/>
      <c r="Y39" s="734"/>
      <c r="Z39" s="734"/>
      <c r="AA39" s="734"/>
      <c r="AB39" s="734"/>
      <c r="AC39" s="734"/>
      <c r="AD39" s="734"/>
      <c r="AE39" s="676"/>
      <c r="AF39" s="676"/>
      <c r="AG39" s="676"/>
      <c r="AH39" s="676"/>
    </row>
    <row r="40" spans="1:34" ht="17.100000000000001" customHeight="1" x14ac:dyDescent="0.2">
      <c r="A40" s="248" t="s">
        <v>214</v>
      </c>
      <c r="B40" s="652">
        <f>Subcontracts!D62</f>
        <v>0</v>
      </c>
      <c r="C40" s="652">
        <f>Subcontracts!E62</f>
        <v>0</v>
      </c>
      <c r="D40" s="652">
        <f>Subcontracts!F62</f>
        <v>0</v>
      </c>
      <c r="E40" s="652">
        <f>Subcontracts!G62</f>
        <v>0</v>
      </c>
      <c r="F40" s="652">
        <f>Subcontracts!H62</f>
        <v>0</v>
      </c>
      <c r="G40" s="652">
        <f>Subcontracts!I62</f>
        <v>0</v>
      </c>
      <c r="H40" s="652">
        <f>Subcontracts!J62</f>
        <v>0</v>
      </c>
      <c r="I40" s="652">
        <f>Subcontracts!K62</f>
        <v>0</v>
      </c>
      <c r="J40" s="652">
        <f>Subcontracts!L62</f>
        <v>0</v>
      </c>
      <c r="K40" s="652">
        <f>Subcontracts!M62</f>
        <v>0</v>
      </c>
      <c r="L40" s="652">
        <f>SUM(B40:K40)</f>
        <v>0</v>
      </c>
      <c r="M40" s="15"/>
      <c r="N40" s="735"/>
      <c r="O40" s="735"/>
      <c r="P40" s="735"/>
      <c r="Q40" s="735"/>
      <c r="R40" s="735"/>
      <c r="S40" s="735"/>
      <c r="T40" s="735"/>
      <c r="U40" s="735"/>
      <c r="V40" s="735"/>
      <c r="W40" s="735"/>
      <c r="X40" s="734"/>
      <c r="Y40" s="734"/>
      <c r="Z40" s="734"/>
      <c r="AA40" s="734"/>
      <c r="AB40" s="734"/>
      <c r="AC40" s="734"/>
      <c r="AD40" s="734"/>
      <c r="AE40" s="676"/>
      <c r="AF40" s="676"/>
      <c r="AG40" s="676"/>
      <c r="AH40" s="676"/>
    </row>
    <row r="41" spans="1:34" ht="21" customHeight="1" x14ac:dyDescent="0.2">
      <c r="A41" s="530" t="s">
        <v>218</v>
      </c>
      <c r="B41" s="528">
        <f>IF(OR($I$7="x",$I$7="X"),SUM(B$39+B$40),SUM(B$38+B$40))</f>
        <v>0</v>
      </c>
      <c r="C41" s="528">
        <f t="shared" ref="C41:K41" si="26">IF(OR($I$7="x",$I$7="X"),SUM(C$39+C$40),SUM(C$38+C$40))</f>
        <v>0</v>
      </c>
      <c r="D41" s="528">
        <f t="shared" si="26"/>
        <v>0</v>
      </c>
      <c r="E41" s="528">
        <f t="shared" si="26"/>
        <v>0</v>
      </c>
      <c r="F41" s="528">
        <f t="shared" si="26"/>
        <v>0</v>
      </c>
      <c r="G41" s="528">
        <f t="shared" si="26"/>
        <v>0</v>
      </c>
      <c r="H41" s="528">
        <f t="shared" si="26"/>
        <v>0</v>
      </c>
      <c r="I41" s="528">
        <f t="shared" si="26"/>
        <v>0</v>
      </c>
      <c r="J41" s="528">
        <f t="shared" si="26"/>
        <v>0</v>
      </c>
      <c r="K41" s="528">
        <f t="shared" si="26"/>
        <v>0</v>
      </c>
      <c r="L41" s="528">
        <f t="shared" ref="L41:L48" si="27">SUM(B41:K41)</f>
        <v>0</v>
      </c>
      <c r="M41" s="529"/>
      <c r="N41" s="735"/>
      <c r="O41" s="735"/>
      <c r="P41" s="735"/>
      <c r="Q41" s="735"/>
      <c r="R41" s="735"/>
      <c r="S41" s="735"/>
      <c r="T41" s="735"/>
      <c r="U41" s="735"/>
      <c r="V41" s="735"/>
      <c r="W41" s="735"/>
      <c r="X41" s="734"/>
      <c r="Y41" s="734"/>
      <c r="Z41" s="734"/>
      <c r="AA41" s="734"/>
      <c r="AB41" s="734"/>
      <c r="AC41" s="734"/>
      <c r="AD41" s="734"/>
      <c r="AE41" s="676"/>
      <c r="AF41" s="676"/>
      <c r="AG41" s="676"/>
      <c r="AH41" s="676"/>
    </row>
    <row r="42" spans="1:34" ht="6.75" customHeight="1" x14ac:dyDescent="0.2">
      <c r="A42" s="747"/>
      <c r="B42" s="748"/>
      <c r="C42" s="748"/>
      <c r="D42" s="748"/>
      <c r="E42" s="748"/>
      <c r="F42" s="748"/>
      <c r="G42" s="748"/>
      <c r="H42" s="748"/>
      <c r="I42" s="748"/>
      <c r="J42" s="748"/>
      <c r="K42" s="748"/>
      <c r="L42" s="749"/>
      <c r="M42" s="501"/>
      <c r="N42" s="735"/>
      <c r="O42" s="735"/>
      <c r="P42" s="735"/>
      <c r="Q42" s="735"/>
      <c r="R42" s="735"/>
      <c r="S42" s="735"/>
      <c r="T42" s="735"/>
      <c r="U42" s="735"/>
      <c r="V42" s="735"/>
      <c r="W42" s="735"/>
      <c r="X42" s="734"/>
      <c r="Y42" s="734"/>
      <c r="Z42" s="734"/>
      <c r="AA42" s="734"/>
      <c r="AB42" s="734"/>
      <c r="AC42" s="734"/>
      <c r="AD42" s="734"/>
      <c r="AE42" s="676"/>
      <c r="AF42" s="676"/>
      <c r="AG42" s="676"/>
      <c r="AH42" s="676"/>
    </row>
    <row r="43" spans="1:34" ht="17.25" customHeight="1" x14ac:dyDescent="0.2">
      <c r="A43" s="498"/>
      <c r="B43" s="653"/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501"/>
      <c r="N43" s="735"/>
      <c r="O43" s="735"/>
      <c r="P43" s="735"/>
      <c r="Q43" s="735"/>
      <c r="R43" s="735"/>
      <c r="S43" s="735"/>
      <c r="T43" s="735"/>
      <c r="U43" s="735"/>
      <c r="V43" s="735"/>
      <c r="W43" s="735"/>
      <c r="X43" s="734"/>
      <c r="Y43" s="734"/>
      <c r="Z43" s="734"/>
      <c r="AA43" s="734"/>
      <c r="AB43" s="734"/>
      <c r="AC43" s="734"/>
      <c r="AD43" s="734"/>
      <c r="AE43" s="676"/>
      <c r="AF43" s="676"/>
      <c r="AG43" s="676"/>
      <c r="AH43" s="676"/>
    </row>
    <row r="44" spans="1:34" ht="17.100000000000001" customHeight="1" x14ac:dyDescent="0.2">
      <c r="A44" s="498" t="s">
        <v>452</v>
      </c>
      <c r="B44" s="652">
        <f>IF('Salary Detail'!$B$20=0,(IF(('Salary Detail'!$B$15="X")*AND('Salary Detail'!$B$17="X"),(B45-B42),0)),0)</f>
        <v>0</v>
      </c>
      <c r="C44" s="652">
        <f>IF('Salary Detail'!$B$20=0,(IF('Salary Detail'!$B$20=0,(IF(('Salary Detail'!$B$15="X")*AND('Salary Detail'!$B$17="X"),SUM(C45-C42),0)),0)),0)</f>
        <v>0</v>
      </c>
      <c r="D44" s="652">
        <f>IF('Salary Detail'!$B$20=0,(IF('Salary Detail'!$B$20=0,(IF(('Salary Detail'!$B$15="X")*AND('Salary Detail'!$B$17="X"),SUM(D45-D42),0)),0)),0)</f>
        <v>0</v>
      </c>
      <c r="E44" s="652">
        <f>IF('Salary Detail'!$B$20=0,(IF('Salary Detail'!$B$20=0,(IF(('Salary Detail'!$B$15="X")*AND('Salary Detail'!$B$17="X"),SUM(E45-E42),0)),0)),0)</f>
        <v>0</v>
      </c>
      <c r="F44" s="652">
        <f>IF('Salary Detail'!$B$20=0,(IF('Salary Detail'!$B$20=0,(IF(('Salary Detail'!$B$15="X")*AND('Salary Detail'!$B$17="X"),SUM(F45-F42),0)),0)),0)</f>
        <v>0</v>
      </c>
      <c r="G44" s="652">
        <f>IF('Salary Detail'!$B$20=0,(IF('Salary Detail'!$B$20=0,(IF(('Salary Detail'!$B$15="X")*AND('Salary Detail'!$B$17="X"),SUM(G45-G42),0)),0)),0)</f>
        <v>0</v>
      </c>
      <c r="H44" s="652">
        <f>IF('Salary Detail'!$B$20=0,(IF('Salary Detail'!$B$20=0,(IF(('Salary Detail'!$B$15="X")*AND('Salary Detail'!$B$17="X"),SUM(H45-H42),0)),0)),0)</f>
        <v>0</v>
      </c>
      <c r="I44" s="652">
        <f>IF('Salary Detail'!$B$20=0,(IF('Salary Detail'!$B$20=0,(IF(('Salary Detail'!$B$15="X")*AND('Salary Detail'!$B$17="X"),SUM(I45-I42),0)),0)),0)</f>
        <v>0</v>
      </c>
      <c r="J44" s="652">
        <f>IF('Salary Detail'!$B$20=0,(IF('Salary Detail'!$B$20=0,(IF(('Salary Detail'!$B$15="X")*AND('Salary Detail'!$B$17="X"),SUM(J45-J42),0)),0)),0)</f>
        <v>0</v>
      </c>
      <c r="K44" s="652">
        <f>IF('Salary Detail'!$B$20=0,(IF('Salary Detail'!$B$20=0,(IF(('Salary Detail'!$B$15="X")*AND('Salary Detail'!$B$17="X"),SUM(K45-K42),0)),0)),0)</f>
        <v>0</v>
      </c>
      <c r="L44" s="650">
        <f t="shared" si="27"/>
        <v>0</v>
      </c>
      <c r="M44" s="500" t="s">
        <v>339</v>
      </c>
      <c r="N44" s="735"/>
      <c r="O44" s="735"/>
      <c r="P44" s="735"/>
      <c r="Q44" s="735"/>
      <c r="R44" s="735"/>
      <c r="S44" s="735"/>
      <c r="T44" s="735"/>
      <c r="U44" s="735"/>
      <c r="V44" s="735"/>
      <c r="W44" s="735"/>
      <c r="X44" s="734"/>
      <c r="Y44" s="734"/>
      <c r="Z44" s="734"/>
      <c r="AA44" s="734"/>
      <c r="AB44" s="734"/>
      <c r="AC44" s="734"/>
      <c r="AD44" s="734"/>
      <c r="AE44" s="676"/>
      <c r="AF44" s="676"/>
      <c r="AG44" s="676"/>
      <c r="AH44" s="676"/>
    </row>
    <row r="45" spans="1:34" ht="17.100000000000001" customHeight="1" x14ac:dyDescent="0.2">
      <c r="A45" s="531" t="s">
        <v>335</v>
      </c>
      <c r="B45" s="532">
        <f>B41+N38+Subcontracts!D63</f>
        <v>0</v>
      </c>
      <c r="C45" s="532">
        <f>C41+O38+Subcontracts!E63</f>
        <v>0</v>
      </c>
      <c r="D45" s="532">
        <f>D41+P38+Subcontracts!F63</f>
        <v>0</v>
      </c>
      <c r="E45" s="532">
        <f>E41+Q38+Subcontracts!G63</f>
        <v>0</v>
      </c>
      <c r="F45" s="532">
        <f>F41+R38+Subcontracts!H63</f>
        <v>0</v>
      </c>
      <c r="G45" s="532">
        <f>G41+S38+Subcontracts!I63</f>
        <v>0</v>
      </c>
      <c r="H45" s="532">
        <f>H41+T38+Subcontracts!J63</f>
        <v>0</v>
      </c>
      <c r="I45" s="532">
        <f>I41+U38+Subcontracts!K63</f>
        <v>0</v>
      </c>
      <c r="J45" s="532">
        <f>J41+V38+Subcontracts!L63</f>
        <v>0</v>
      </c>
      <c r="K45" s="532">
        <f>K41+W38+Subcontracts!M63</f>
        <v>0</v>
      </c>
      <c r="L45" s="532">
        <f>SUM(B45:K45)</f>
        <v>0</v>
      </c>
      <c r="M45" s="533" t="s">
        <v>340</v>
      </c>
      <c r="N45" s="735"/>
      <c r="O45" s="735"/>
      <c r="P45" s="735"/>
      <c r="Q45" s="734"/>
      <c r="R45" s="734"/>
      <c r="S45" s="734"/>
      <c r="T45" s="734"/>
      <c r="U45" s="734"/>
      <c r="V45" s="734"/>
      <c r="W45" s="734"/>
      <c r="X45" s="734"/>
      <c r="Y45" s="734"/>
      <c r="Z45" s="734"/>
      <c r="AA45" s="734"/>
      <c r="AB45" s="734"/>
      <c r="AC45" s="734"/>
      <c r="AD45" s="734"/>
      <c r="AE45" s="676"/>
      <c r="AF45" s="676"/>
      <c r="AG45" s="676"/>
      <c r="AH45" s="676"/>
    </row>
    <row r="46" spans="1:34" ht="17.100000000000001" customHeight="1" x14ac:dyDescent="0.2">
      <c r="A46" s="531"/>
      <c r="B46" s="666"/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533"/>
      <c r="N46" s="735"/>
      <c r="O46" s="735"/>
      <c r="P46" s="735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676"/>
      <c r="AF46" s="676"/>
      <c r="AG46" s="676"/>
      <c r="AH46" s="676"/>
    </row>
    <row r="47" spans="1:34" ht="7.5" customHeight="1" x14ac:dyDescent="0.2">
      <c r="A47" s="747"/>
      <c r="B47" s="750"/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502"/>
      <c r="N47" s="735"/>
      <c r="O47" s="735"/>
      <c r="P47" s="735"/>
      <c r="Q47" s="734"/>
      <c r="R47" s="734"/>
      <c r="S47" s="734"/>
      <c r="T47" s="734"/>
      <c r="U47" s="734"/>
      <c r="V47" s="734"/>
      <c r="W47" s="734"/>
      <c r="X47" s="734"/>
      <c r="Y47" s="734"/>
      <c r="Z47" s="734"/>
      <c r="AA47" s="734"/>
      <c r="AB47" s="734"/>
      <c r="AC47" s="734"/>
      <c r="AD47" s="734"/>
      <c r="AE47" s="676"/>
      <c r="AF47" s="676"/>
      <c r="AG47" s="676"/>
      <c r="AH47" s="676"/>
    </row>
    <row r="48" spans="1:34" ht="17.100000000000001" customHeight="1" x14ac:dyDescent="0.2">
      <c r="A48" s="498" t="s">
        <v>451</v>
      </c>
      <c r="B48" s="653">
        <f t="shared" ref="B48:K48" si="28">ROUND(B44*0.525,0)</f>
        <v>0</v>
      </c>
      <c r="C48" s="653">
        <f t="shared" si="28"/>
        <v>0</v>
      </c>
      <c r="D48" s="653">
        <f t="shared" si="28"/>
        <v>0</v>
      </c>
      <c r="E48" s="653">
        <f t="shared" si="28"/>
        <v>0</v>
      </c>
      <c r="F48" s="653">
        <f t="shared" si="28"/>
        <v>0</v>
      </c>
      <c r="G48" s="653">
        <f t="shared" si="28"/>
        <v>0</v>
      </c>
      <c r="H48" s="653">
        <f t="shared" si="28"/>
        <v>0</v>
      </c>
      <c r="I48" s="653">
        <f t="shared" si="28"/>
        <v>0</v>
      </c>
      <c r="J48" s="653">
        <f t="shared" si="28"/>
        <v>0</v>
      </c>
      <c r="K48" s="653">
        <f t="shared" si="28"/>
        <v>0</v>
      </c>
      <c r="L48" s="650">
        <f t="shared" si="27"/>
        <v>0</v>
      </c>
      <c r="M48" s="500"/>
      <c r="N48" s="735"/>
      <c r="O48" s="735"/>
      <c r="P48" s="735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676"/>
      <c r="AF48" s="676"/>
      <c r="AG48" s="676"/>
      <c r="AH48" s="676"/>
    </row>
    <row r="49" spans="1:34" ht="17.100000000000001" customHeight="1" x14ac:dyDescent="0.2">
      <c r="A49" s="499" t="s">
        <v>336</v>
      </c>
      <c r="B49" s="651">
        <f t="shared" ref="B49:K49" si="29">IF($M$49&gt;0, ROUND(B45*$M$49,SUM(B42+B44)),SUM(B47+B48))</f>
        <v>0</v>
      </c>
      <c r="C49" s="651">
        <f t="shared" si="29"/>
        <v>0</v>
      </c>
      <c r="D49" s="651">
        <f t="shared" si="29"/>
        <v>0</v>
      </c>
      <c r="E49" s="651">
        <f t="shared" si="29"/>
        <v>0</v>
      </c>
      <c r="F49" s="651">
        <f t="shared" si="29"/>
        <v>0</v>
      </c>
      <c r="G49" s="651">
        <f t="shared" si="29"/>
        <v>0</v>
      </c>
      <c r="H49" s="651">
        <f t="shared" si="29"/>
        <v>0</v>
      </c>
      <c r="I49" s="651">
        <f t="shared" si="29"/>
        <v>0</v>
      </c>
      <c r="J49" s="651">
        <f t="shared" si="29"/>
        <v>0</v>
      </c>
      <c r="K49" s="651">
        <f t="shared" si="29"/>
        <v>0</v>
      </c>
      <c r="L49" s="79">
        <f>SUM(B49:K49)</f>
        <v>0</v>
      </c>
      <c r="M49" s="751">
        <f>IF(('Salary Detail'!B15="X")*AND('Salary Detail'!B17="X")*AND('Salary Detail'!B20=0), 0.525,IF('Salary Detail'!C20&gt;0,'Salary Detail'!C20, 0))</f>
        <v>0</v>
      </c>
      <c r="N49" s="736"/>
      <c r="O49" s="737" t="s">
        <v>397</v>
      </c>
      <c r="P49" s="736"/>
      <c r="Q49" s="43"/>
      <c r="R49" s="43"/>
      <c r="S49" s="43"/>
      <c r="T49" s="43"/>
      <c r="U49" s="43"/>
      <c r="V49" s="43"/>
      <c r="W49" s="43"/>
      <c r="X49" s="43"/>
      <c r="Y49" s="738"/>
      <c r="Z49" s="734"/>
      <c r="AA49" s="734"/>
      <c r="AB49" s="734"/>
      <c r="AC49" s="734"/>
      <c r="AD49" s="734"/>
      <c r="AE49" s="676"/>
      <c r="AF49" s="676"/>
      <c r="AG49" s="676"/>
      <c r="AH49" s="676"/>
    </row>
    <row r="50" spans="1:34" ht="21" customHeight="1" thickBot="1" x14ac:dyDescent="0.3">
      <c r="A50" s="336" t="s">
        <v>219</v>
      </c>
      <c r="B50" s="505">
        <f t="shared" ref="B50:L50" si="30">B41+B49</f>
        <v>0</v>
      </c>
      <c r="C50" s="505">
        <f t="shared" si="30"/>
        <v>0</v>
      </c>
      <c r="D50" s="505">
        <f t="shared" si="30"/>
        <v>0</v>
      </c>
      <c r="E50" s="505">
        <f t="shared" si="30"/>
        <v>0</v>
      </c>
      <c r="F50" s="505">
        <f t="shared" si="30"/>
        <v>0</v>
      </c>
      <c r="G50" s="505">
        <f t="shared" si="30"/>
        <v>0</v>
      </c>
      <c r="H50" s="505">
        <f t="shared" si="30"/>
        <v>0</v>
      </c>
      <c r="I50" s="505">
        <f t="shared" si="30"/>
        <v>0</v>
      </c>
      <c r="J50" s="505">
        <f t="shared" si="30"/>
        <v>0</v>
      </c>
      <c r="K50" s="505">
        <f t="shared" si="30"/>
        <v>0</v>
      </c>
      <c r="L50" s="505">
        <f t="shared" si="30"/>
        <v>0</v>
      </c>
      <c r="M50" s="508" t="s">
        <v>343</v>
      </c>
      <c r="N50" s="736"/>
      <c r="O50" s="736"/>
      <c r="P50" s="43"/>
      <c r="Q50" s="43"/>
      <c r="R50" s="43"/>
      <c r="S50" s="43"/>
      <c r="T50" s="43"/>
      <c r="U50" s="43"/>
      <c r="V50" s="43"/>
      <c r="W50" s="43"/>
      <c r="X50" s="43"/>
      <c r="Y50" s="738"/>
      <c r="Z50" s="734"/>
      <c r="AA50" s="734"/>
      <c r="AB50" s="734"/>
      <c r="AC50" s="734"/>
      <c r="AD50" s="734"/>
      <c r="AE50" s="676"/>
      <c r="AF50" s="676"/>
      <c r="AG50" s="676"/>
      <c r="AH50" s="676"/>
    </row>
    <row r="51" spans="1:34" ht="10.5" customHeight="1" thickTop="1" x14ac:dyDescent="0.2">
      <c r="A51" s="667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36"/>
      <c r="O51" s="739" t="s">
        <v>79</v>
      </c>
      <c r="P51" s="740" t="s">
        <v>43</v>
      </c>
      <c r="Q51" s="740" t="s">
        <v>44</v>
      </c>
      <c r="R51" s="740" t="s">
        <v>52</v>
      </c>
      <c r="S51" s="740" t="s">
        <v>53</v>
      </c>
      <c r="T51" s="740" t="s">
        <v>144</v>
      </c>
      <c r="U51" s="740" t="s">
        <v>145</v>
      </c>
      <c r="V51" s="740" t="s">
        <v>149</v>
      </c>
      <c r="W51" s="740" t="s">
        <v>150</v>
      </c>
      <c r="X51" s="740" t="s">
        <v>155</v>
      </c>
      <c r="Y51" s="738"/>
      <c r="Z51" s="734"/>
      <c r="AA51" s="734"/>
      <c r="AB51" s="734"/>
      <c r="AC51" s="734"/>
      <c r="AD51" s="734"/>
      <c r="AE51" s="676"/>
      <c r="AF51" s="676"/>
      <c r="AG51" s="676"/>
      <c r="AH51" s="676"/>
    </row>
    <row r="52" spans="1:34" ht="15" customHeight="1" x14ac:dyDescent="0.3">
      <c r="A52" s="712" t="s">
        <v>400</v>
      </c>
      <c r="B52" s="709"/>
      <c r="C52" s="709"/>
      <c r="D52" s="709"/>
      <c r="E52" s="709"/>
      <c r="F52" s="709"/>
      <c r="G52" s="713"/>
      <c r="H52" s="709"/>
      <c r="I52" s="699" t="s">
        <v>401</v>
      </c>
      <c r="N52" s="43"/>
      <c r="O52" s="740" t="s">
        <v>398</v>
      </c>
      <c r="P52" s="740" t="s">
        <v>398</v>
      </c>
      <c r="Q52" s="740" t="s">
        <v>398</v>
      </c>
      <c r="R52" s="740" t="s">
        <v>398</v>
      </c>
      <c r="S52" s="740" t="s">
        <v>398</v>
      </c>
      <c r="T52" s="740" t="s">
        <v>398</v>
      </c>
      <c r="U52" s="740" t="s">
        <v>398</v>
      </c>
      <c r="V52" s="740" t="s">
        <v>398</v>
      </c>
      <c r="W52" s="740" t="s">
        <v>398</v>
      </c>
      <c r="X52" s="740" t="s">
        <v>398</v>
      </c>
      <c r="Y52" s="738"/>
      <c r="Z52" s="734"/>
      <c r="AA52" s="734"/>
      <c r="AB52" s="734"/>
      <c r="AC52" s="734"/>
      <c r="AD52" s="734"/>
      <c r="AE52" s="676"/>
      <c r="AF52" s="676"/>
      <c r="AG52" s="676"/>
      <c r="AH52" s="676"/>
    </row>
    <row r="53" spans="1:34" ht="15.75" x14ac:dyDescent="0.25">
      <c r="A53" s="704" t="str">
        <f>IF($I$7&gt;0, "Modular Format"," ")</f>
        <v xml:space="preserve"> </v>
      </c>
      <c r="B53" s="705" t="s">
        <v>402</v>
      </c>
      <c r="C53" s="706" t="s">
        <v>403</v>
      </c>
      <c r="D53" s="707" t="s">
        <v>404</v>
      </c>
      <c r="E53" s="708" t="s">
        <v>405</v>
      </c>
      <c r="F53" s="708" t="s">
        <v>406</v>
      </c>
      <c r="G53" s="708" t="s">
        <v>407</v>
      </c>
      <c r="H53" s="709"/>
      <c r="I53" s="160"/>
      <c r="J53" s="160"/>
      <c r="K53" s="160"/>
      <c r="L53" s="160"/>
      <c r="M53" s="160"/>
      <c r="N53" s="741" t="s">
        <v>399</v>
      </c>
      <c r="O53" s="742">
        <v>0</v>
      </c>
      <c r="P53" s="742">
        <v>0</v>
      </c>
      <c r="Q53" s="742">
        <v>0</v>
      </c>
      <c r="R53" s="742">
        <v>0</v>
      </c>
      <c r="S53" s="742">
        <v>0</v>
      </c>
      <c r="T53" s="742">
        <v>0</v>
      </c>
      <c r="U53" s="742">
        <v>0</v>
      </c>
      <c r="V53" s="742">
        <v>0</v>
      </c>
      <c r="W53" s="742">
        <v>0</v>
      </c>
      <c r="X53" s="742">
        <v>0</v>
      </c>
      <c r="Y53" s="738"/>
      <c r="Z53" s="734"/>
      <c r="AA53" s="734"/>
      <c r="AB53" s="734"/>
      <c r="AC53" s="734"/>
      <c r="AD53" s="734"/>
      <c r="AE53" s="676"/>
      <c r="AF53" s="676"/>
      <c r="AG53" s="676"/>
      <c r="AH53" s="676"/>
    </row>
    <row r="54" spans="1:34" x14ac:dyDescent="0.2">
      <c r="A54" s="714" t="s">
        <v>408</v>
      </c>
      <c r="B54" s="715">
        <f>IF($I$7="X",B76,B45)</f>
        <v>0</v>
      </c>
      <c r="C54" s="715">
        <f>IF($I$7="X",C76,C45)</f>
        <v>0</v>
      </c>
      <c r="D54" s="715">
        <f>IF($I$7="X",D76,D45)</f>
        <v>0</v>
      </c>
      <c r="E54" s="715">
        <f>IF($I$7="X",E76,E45)</f>
        <v>0</v>
      </c>
      <c r="F54" s="715">
        <f>IF($I$7="X",F76,F45)</f>
        <v>0</v>
      </c>
      <c r="G54" s="716">
        <f t="shared" ref="G54:G66" si="31">SUM(B54:F54)</f>
        <v>0</v>
      </c>
      <c r="H54" s="709"/>
      <c r="I54" s="710" t="s">
        <v>409</v>
      </c>
      <c r="J54" s="43" t="s">
        <v>410</v>
      </c>
      <c r="N54" s="738"/>
      <c r="O54" s="738"/>
      <c r="P54" s="738"/>
      <c r="Q54" s="738"/>
      <c r="R54" s="738"/>
      <c r="S54" s="738"/>
      <c r="T54" s="738"/>
      <c r="U54" s="738"/>
      <c r="V54" s="738"/>
      <c r="W54" s="738"/>
      <c r="X54" s="738"/>
      <c r="Y54" s="738"/>
      <c r="Z54" s="734"/>
      <c r="AA54" s="734"/>
      <c r="AB54" s="734"/>
      <c r="AC54" s="734"/>
      <c r="AD54" s="734"/>
      <c r="AE54" s="676"/>
      <c r="AF54" s="676"/>
      <c r="AG54" s="676"/>
      <c r="AH54" s="676"/>
    </row>
    <row r="55" spans="1:34" x14ac:dyDescent="0.2">
      <c r="A55" s="714"/>
      <c r="B55" s="715"/>
      <c r="C55" s="715"/>
      <c r="D55" s="715"/>
      <c r="E55" s="715"/>
      <c r="F55" s="715"/>
      <c r="G55" s="716"/>
      <c r="H55" s="709"/>
      <c r="I55" s="43" t="s">
        <v>411</v>
      </c>
      <c r="J55" s="43"/>
      <c r="N55" s="743"/>
      <c r="O55" s="734"/>
      <c r="P55" s="734"/>
      <c r="Q55" s="734"/>
      <c r="R55" s="734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676"/>
      <c r="AF55" s="676"/>
      <c r="AG55" s="676"/>
      <c r="AH55" s="676"/>
    </row>
    <row r="56" spans="1:34" x14ac:dyDescent="0.2">
      <c r="A56" s="714"/>
      <c r="B56" s="715"/>
      <c r="C56" s="715"/>
      <c r="D56" s="715"/>
      <c r="E56" s="715"/>
      <c r="F56" s="715"/>
      <c r="G56" s="716"/>
      <c r="H56" s="709"/>
      <c r="I56" s="43" t="s">
        <v>411</v>
      </c>
      <c r="J56" s="43"/>
      <c r="N56" s="743"/>
      <c r="O56" s="734"/>
      <c r="P56" s="734"/>
      <c r="Q56" s="734"/>
      <c r="R56" s="734"/>
      <c r="S56" s="734"/>
      <c r="T56" s="734"/>
      <c r="U56" s="734"/>
      <c r="V56" s="734"/>
      <c r="W56" s="734"/>
      <c r="X56" s="734"/>
      <c r="Y56" s="734"/>
      <c r="Z56" s="734"/>
      <c r="AA56" s="734"/>
      <c r="AB56" s="734"/>
      <c r="AC56" s="734"/>
      <c r="AD56" s="734"/>
      <c r="AE56" s="676"/>
      <c r="AF56" s="676"/>
      <c r="AG56" s="676"/>
      <c r="AH56" s="676"/>
    </row>
    <row r="57" spans="1:34" x14ac:dyDescent="0.2">
      <c r="A57" s="717" t="s">
        <v>412</v>
      </c>
      <c r="B57" s="718">
        <f>IF($I$7="X",B77,IF(B41&gt;0,(B42),0))</f>
        <v>0</v>
      </c>
      <c r="C57" s="718">
        <f>IF($I$7="X",C77,IF(C41&gt;0,(C42),0))</f>
        <v>0</v>
      </c>
      <c r="D57" s="718">
        <f>IF($I$7="X",D77,IF(D41&gt;0,(D42),0))</f>
        <v>0</v>
      </c>
      <c r="E57" s="718">
        <f>IF($I$7="X",E77,IF(E41&gt;0,(E42),0))</f>
        <v>0</v>
      </c>
      <c r="F57" s="718">
        <f>IF($I$7="X",F77,IF(F41&gt;0,(F42),0))</f>
        <v>0</v>
      </c>
      <c r="G57" s="719">
        <f t="shared" si="31"/>
        <v>0</v>
      </c>
      <c r="H57" s="709"/>
      <c r="I57" s="43" t="s">
        <v>411</v>
      </c>
      <c r="J57" s="43"/>
      <c r="N57" s="743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676"/>
      <c r="AF57" s="676"/>
      <c r="AG57" s="676"/>
      <c r="AH57" s="676"/>
    </row>
    <row r="58" spans="1:34" x14ac:dyDescent="0.2">
      <c r="A58" s="717" t="s">
        <v>413</v>
      </c>
      <c r="B58" s="718">
        <f>IF($I$7="X",B78,IF(B41&gt;0,(B44),0))</f>
        <v>0</v>
      </c>
      <c r="C58" s="718">
        <f>IF($I$7="X",C78,IF(C41&gt;0,(C44),0))</f>
        <v>0</v>
      </c>
      <c r="D58" s="718">
        <f>IF($I$7="X",D78,IF(D41&gt;0,(D44),0))</f>
        <v>0</v>
      </c>
      <c r="E58" s="718">
        <f>IF($I$7="X",E78,IF(E41&gt;0,(E44),0))</f>
        <v>0</v>
      </c>
      <c r="F58" s="718">
        <f>IF($I$7="X",F78,IF(F41&gt;0,(F44),0))</f>
        <v>0</v>
      </c>
      <c r="G58" s="719">
        <f t="shared" si="31"/>
        <v>0</v>
      </c>
      <c r="H58" s="709"/>
      <c r="I58" s="700"/>
      <c r="J58" s="43"/>
      <c r="N58" s="743"/>
      <c r="O58" s="734"/>
      <c r="P58" s="734"/>
      <c r="Q58" s="734"/>
      <c r="R58" s="734"/>
      <c r="S58" s="734"/>
      <c r="T58" s="734"/>
      <c r="U58" s="734"/>
      <c r="V58" s="734"/>
      <c r="W58" s="734"/>
      <c r="X58" s="734"/>
      <c r="Y58" s="734"/>
      <c r="Z58" s="734"/>
      <c r="AA58" s="734"/>
      <c r="AB58" s="734"/>
      <c r="AC58" s="734"/>
      <c r="AD58" s="734"/>
      <c r="AE58" s="676"/>
      <c r="AF58" s="676"/>
      <c r="AG58" s="676"/>
      <c r="AH58" s="676"/>
    </row>
    <row r="59" spans="1:34" x14ac:dyDescent="0.2">
      <c r="A59" s="720" t="s">
        <v>414</v>
      </c>
      <c r="B59" s="715">
        <f>IF($I$7="X",B75,(((SUM(B17:B24))+SUM(B36+B38))))</f>
        <v>0</v>
      </c>
      <c r="C59" s="715">
        <f>IF($I$7="X",C75,(((SUM(C17:C24))+SUM(C36+C38))))</f>
        <v>0</v>
      </c>
      <c r="D59" s="715">
        <f>IF($I$7="X",D75,(((SUM(D17:D24))+SUM(D36+D38))))</f>
        <v>0</v>
      </c>
      <c r="E59" s="715">
        <f>IF($I$7="X",E75,(((SUM(E17:E24))+SUM(E36+E38))))</f>
        <v>0</v>
      </c>
      <c r="F59" s="715">
        <f>IF($I$7="X",F75,(((SUM(F17:F24))+SUM(F36+F38))))</f>
        <v>0</v>
      </c>
      <c r="G59" s="716">
        <f t="shared" si="31"/>
        <v>0</v>
      </c>
      <c r="H59" s="709"/>
      <c r="I59" s="711" t="s">
        <v>415</v>
      </c>
      <c r="J59" s="43" t="s">
        <v>416</v>
      </c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676"/>
      <c r="AF59" s="676"/>
      <c r="AG59" s="676"/>
      <c r="AH59" s="676"/>
    </row>
    <row r="60" spans="1:34" x14ac:dyDescent="0.2">
      <c r="A60" s="720" t="s">
        <v>214</v>
      </c>
      <c r="B60" s="715">
        <f>B40</f>
        <v>0</v>
      </c>
      <c r="C60" s="715">
        <f>C40</f>
        <v>0</v>
      </c>
      <c r="D60" s="715">
        <f>D40</f>
        <v>0</v>
      </c>
      <c r="E60" s="715">
        <f>E40</f>
        <v>0</v>
      </c>
      <c r="F60" s="715">
        <f>F40</f>
        <v>0</v>
      </c>
      <c r="G60" s="716">
        <f t="shared" si="31"/>
        <v>0</v>
      </c>
      <c r="H60" s="709"/>
      <c r="I60" s="43" t="s">
        <v>417</v>
      </c>
      <c r="N60" s="734"/>
      <c r="O60" s="734"/>
      <c r="P60" s="734"/>
      <c r="Q60" s="734"/>
      <c r="R60" s="734"/>
      <c r="S60" s="734"/>
      <c r="T60" s="734"/>
      <c r="U60" s="734"/>
      <c r="V60" s="734"/>
      <c r="W60" s="734"/>
      <c r="X60" s="734"/>
      <c r="Y60" s="734"/>
      <c r="Z60" s="734"/>
      <c r="AA60" s="734"/>
      <c r="AB60" s="734"/>
      <c r="AC60" s="734"/>
      <c r="AD60" s="734"/>
      <c r="AE60" s="676"/>
      <c r="AF60" s="676"/>
      <c r="AG60" s="676"/>
      <c r="AH60" s="676"/>
    </row>
    <row r="61" spans="1:34" x14ac:dyDescent="0.2">
      <c r="A61" s="721" t="s">
        <v>418</v>
      </c>
      <c r="B61" s="715">
        <f>B59+B60</f>
        <v>0</v>
      </c>
      <c r="C61" s="715">
        <f>C59+C60</f>
        <v>0</v>
      </c>
      <c r="D61" s="715">
        <f>D59+D60</f>
        <v>0</v>
      </c>
      <c r="E61" s="715">
        <f>E59+E60</f>
        <v>0</v>
      </c>
      <c r="F61" s="715">
        <f>F59+F60</f>
        <v>0</v>
      </c>
      <c r="G61" s="716">
        <f t="shared" si="31"/>
        <v>0</v>
      </c>
      <c r="H61" s="709"/>
      <c r="I61" s="43" t="s">
        <v>419</v>
      </c>
      <c r="N61" s="735"/>
      <c r="O61" s="744"/>
      <c r="P61" s="733"/>
      <c r="Q61" s="733"/>
      <c r="R61" s="733"/>
      <c r="S61" s="733"/>
      <c r="T61" s="733"/>
      <c r="U61" s="733"/>
      <c r="V61" s="733"/>
      <c r="W61" s="733"/>
      <c r="X61" s="733"/>
      <c r="Y61" s="734"/>
      <c r="Z61" s="734"/>
      <c r="AA61" s="734"/>
      <c r="AB61" s="734"/>
      <c r="AC61" s="734"/>
      <c r="AD61" s="734"/>
      <c r="AE61" s="676"/>
      <c r="AF61" s="676"/>
      <c r="AG61" s="676"/>
      <c r="AH61" s="676"/>
    </row>
    <row r="62" spans="1:34" x14ac:dyDescent="0.2">
      <c r="A62" s="721"/>
      <c r="B62" s="715"/>
      <c r="C62" s="715"/>
      <c r="D62" s="715"/>
      <c r="E62" s="715"/>
      <c r="F62" s="715"/>
      <c r="G62" s="716"/>
      <c r="H62" s="709"/>
      <c r="I62" s="43" t="s">
        <v>420</v>
      </c>
      <c r="N62" s="735"/>
      <c r="O62" s="744"/>
      <c r="P62" s="733"/>
      <c r="Q62" s="733"/>
      <c r="R62" s="733"/>
      <c r="S62" s="733"/>
      <c r="T62" s="733"/>
      <c r="U62" s="733"/>
      <c r="V62" s="733"/>
      <c r="W62" s="733"/>
      <c r="X62" s="733"/>
      <c r="Y62" s="734"/>
      <c r="Z62" s="734"/>
      <c r="AA62" s="734"/>
      <c r="AB62" s="734"/>
      <c r="AC62" s="734"/>
      <c r="AD62" s="734"/>
      <c r="AE62" s="676"/>
      <c r="AF62" s="676"/>
      <c r="AG62" s="676"/>
      <c r="AH62" s="676"/>
    </row>
    <row r="63" spans="1:34" x14ac:dyDescent="0.2">
      <c r="A63" s="722" t="s">
        <v>421</v>
      </c>
      <c r="B63" s="718">
        <f>IF($I$7="X",B80,(IF(B41&gt;0,B47,0)))</f>
        <v>0</v>
      </c>
      <c r="C63" s="718">
        <f>IF($I$7="X",C80,(IF(C41&gt;0,C47,0)))</f>
        <v>0</v>
      </c>
      <c r="D63" s="718">
        <f>IF($I$7="X",D80,(IF(D41&gt;0,D47,0)))</f>
        <v>0</v>
      </c>
      <c r="E63" s="718">
        <f>IF($I$7="X",E80,(IF(E41&gt;0,E47,0)))</f>
        <v>0</v>
      </c>
      <c r="F63" s="718">
        <f>IF($I$7="X",F80,(IF(F41&gt;0,F47,0)))</f>
        <v>0</v>
      </c>
      <c r="G63" s="719">
        <f t="shared" si="31"/>
        <v>0</v>
      </c>
      <c r="H63" s="709"/>
      <c r="N63" s="735"/>
      <c r="O63" s="744"/>
      <c r="P63" s="733"/>
      <c r="Q63" s="733"/>
      <c r="R63" s="733"/>
      <c r="S63" s="733"/>
      <c r="T63" s="733"/>
      <c r="U63" s="733"/>
      <c r="V63" s="733"/>
      <c r="W63" s="733"/>
      <c r="X63" s="733"/>
      <c r="Y63" s="734"/>
      <c r="Z63" s="734"/>
      <c r="AA63" s="734"/>
      <c r="AB63" s="734"/>
      <c r="AC63" s="734"/>
      <c r="AD63" s="734"/>
      <c r="AE63" s="676"/>
      <c r="AF63" s="676"/>
      <c r="AG63" s="676"/>
      <c r="AH63" s="676"/>
    </row>
    <row r="64" spans="1:34" x14ac:dyDescent="0.2">
      <c r="A64" s="722" t="s">
        <v>422</v>
      </c>
      <c r="B64" s="718">
        <f>IF($I$7="X",B81,(IF(B41&gt;0,B48,0)))</f>
        <v>0</v>
      </c>
      <c r="C64" s="718">
        <f>IF($I$7="X",C81,(IF(C41&gt;0,C48,0)))</f>
        <v>0</v>
      </c>
      <c r="D64" s="718">
        <f>IF($I$7="X",D81,(IF(D41&gt;0,D48,0)))</f>
        <v>0</v>
      </c>
      <c r="E64" s="718">
        <f>IF($I$7="X",E81,(IF(E41&gt;0,E48,0)))</f>
        <v>0</v>
      </c>
      <c r="F64" s="718">
        <f>IF($I$7="X",F81,(IF(F41&gt;0,F48,0)))</f>
        <v>0</v>
      </c>
      <c r="G64" s="719">
        <f t="shared" si="31"/>
        <v>0</v>
      </c>
      <c r="H64" s="709"/>
      <c r="I64" s="43"/>
      <c r="N64" s="735"/>
      <c r="O64" s="744"/>
      <c r="P64" s="733"/>
      <c r="Q64" s="733"/>
      <c r="R64" s="733"/>
      <c r="S64" s="733"/>
      <c r="T64" s="733"/>
      <c r="U64" s="733"/>
      <c r="V64" s="733"/>
      <c r="W64" s="733"/>
      <c r="X64" s="733"/>
      <c r="Y64" s="734"/>
      <c r="Z64" s="734"/>
      <c r="AA64" s="734"/>
      <c r="AB64" s="734"/>
      <c r="AC64" s="734"/>
      <c r="AD64" s="734"/>
      <c r="AE64" s="676"/>
      <c r="AF64" s="676"/>
      <c r="AG64" s="676"/>
      <c r="AH64" s="676"/>
    </row>
    <row r="65" spans="1:34" x14ac:dyDescent="0.2">
      <c r="A65" s="721" t="s">
        <v>336</v>
      </c>
      <c r="B65" s="715">
        <f>IF($I$7="X",B82,B49)</f>
        <v>0</v>
      </c>
      <c r="C65" s="715">
        <f>IF($I$7="X",C82,C49)</f>
        <v>0</v>
      </c>
      <c r="D65" s="715">
        <f>IF($I$7="X",D82,D49)</f>
        <v>0</v>
      </c>
      <c r="E65" s="715">
        <f>IF($I$7="X",E82,E49)</f>
        <v>0</v>
      </c>
      <c r="F65" s="715">
        <f>IF($I$7="X",F82,F49)</f>
        <v>0</v>
      </c>
      <c r="G65" s="723">
        <f t="shared" si="31"/>
        <v>0</v>
      </c>
      <c r="H65" s="709"/>
      <c r="N65" s="734"/>
      <c r="O65" s="733"/>
      <c r="P65" s="733"/>
      <c r="Q65" s="733"/>
      <c r="R65" s="733"/>
      <c r="S65" s="733"/>
      <c r="T65" s="733"/>
      <c r="U65" s="733"/>
      <c r="V65" s="733"/>
      <c r="W65" s="733"/>
      <c r="X65" s="733"/>
      <c r="Y65" s="734"/>
      <c r="Z65" s="734"/>
      <c r="AA65" s="734"/>
      <c r="AB65" s="734"/>
      <c r="AC65" s="734"/>
      <c r="AD65" s="734"/>
      <c r="AE65" s="676"/>
      <c r="AF65" s="676"/>
      <c r="AG65" s="676"/>
      <c r="AH65" s="676"/>
    </row>
    <row r="66" spans="1:34" ht="18.75" customHeight="1" x14ac:dyDescent="0.2">
      <c r="A66" s="721" t="s">
        <v>423</v>
      </c>
      <c r="B66" s="724">
        <f>SUM(B61+B65)</f>
        <v>0</v>
      </c>
      <c r="C66" s="724">
        <f>SUM(C61+C65)</f>
        <v>0</v>
      </c>
      <c r="D66" s="724">
        <f>SUM(D61+D65)</f>
        <v>0</v>
      </c>
      <c r="E66" s="724">
        <f>SUM(E61+E65)</f>
        <v>0</v>
      </c>
      <c r="F66" s="724">
        <f>SUM(F61+F65)</f>
        <v>0</v>
      </c>
      <c r="G66" s="725">
        <f t="shared" si="31"/>
        <v>0</v>
      </c>
      <c r="H66" s="709"/>
      <c r="N66" s="743"/>
      <c r="O66" s="734"/>
      <c r="P66" s="734"/>
      <c r="Q66" s="734"/>
      <c r="R66" s="734"/>
      <c r="S66" s="734"/>
      <c r="T66" s="734"/>
      <c r="U66" s="734"/>
      <c r="V66" s="734"/>
      <c r="W66" s="734"/>
      <c r="X66" s="734"/>
      <c r="Y66" s="734"/>
      <c r="Z66" s="734"/>
      <c r="AA66" s="734"/>
      <c r="AB66" s="734"/>
      <c r="AC66" s="734"/>
      <c r="AD66" s="734"/>
      <c r="AE66" s="676"/>
      <c r="AF66" s="676"/>
      <c r="AG66" s="676"/>
      <c r="AH66" s="676"/>
    </row>
    <row r="67" spans="1:34" x14ac:dyDescent="0.2">
      <c r="A67" s="709"/>
      <c r="B67" s="709"/>
      <c r="C67" s="709"/>
      <c r="D67" s="709"/>
      <c r="E67" s="709"/>
      <c r="F67" s="709"/>
      <c r="G67" s="709"/>
      <c r="H67" s="709"/>
      <c r="N67" s="743"/>
      <c r="O67" s="734"/>
      <c r="P67" s="734"/>
      <c r="Q67" s="734"/>
      <c r="R67" s="734"/>
      <c r="S67" s="734"/>
      <c r="T67" s="734"/>
      <c r="U67" s="734"/>
      <c r="V67" s="734"/>
      <c r="W67" s="734"/>
      <c r="X67" s="734"/>
      <c r="Y67" s="734"/>
      <c r="Z67" s="734"/>
      <c r="AA67" s="734"/>
      <c r="AB67" s="734"/>
      <c r="AC67" s="734"/>
      <c r="AD67" s="734"/>
      <c r="AE67" s="676"/>
      <c r="AF67" s="676"/>
      <c r="AG67" s="676"/>
      <c r="AH67" s="676"/>
    </row>
    <row r="68" spans="1:34" x14ac:dyDescent="0.2">
      <c r="A68" s="709"/>
      <c r="B68" s="709"/>
      <c r="C68" s="709"/>
      <c r="D68" s="709"/>
      <c r="E68" s="709"/>
      <c r="F68" s="709"/>
      <c r="G68" s="709"/>
      <c r="H68" s="709"/>
      <c r="N68" s="734"/>
      <c r="O68" s="734"/>
      <c r="P68" s="734"/>
      <c r="Q68" s="734"/>
      <c r="R68" s="734"/>
      <c r="S68" s="734"/>
      <c r="T68" s="734"/>
      <c r="U68" s="734"/>
      <c r="V68" s="734"/>
      <c r="W68" s="734"/>
      <c r="X68" s="734"/>
      <c r="Y68" s="734"/>
      <c r="Z68" s="734"/>
      <c r="AA68" s="734"/>
      <c r="AB68" s="734"/>
      <c r="AC68" s="734"/>
      <c r="AD68" s="734"/>
      <c r="AE68" s="676"/>
      <c r="AF68" s="676"/>
      <c r="AG68" s="676"/>
      <c r="AH68" s="676"/>
    </row>
    <row r="69" spans="1:34" x14ac:dyDescent="0.2">
      <c r="A69" s="726"/>
      <c r="B69" s="709"/>
      <c r="C69" s="709"/>
      <c r="D69" s="709"/>
      <c r="E69" s="709"/>
      <c r="F69" s="709"/>
      <c r="G69" s="709"/>
      <c r="H69" s="727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">
      <c r="A70" s="728"/>
      <c r="B70" s="952"/>
      <c r="C70" s="952"/>
      <c r="D70" s="952"/>
      <c r="E70" s="952"/>
      <c r="F70" s="952"/>
      <c r="G70" s="952"/>
      <c r="H70" s="952"/>
      <c r="N70" s="459"/>
      <c r="O70" s="459"/>
      <c r="P70" s="459"/>
      <c r="Q70" s="459"/>
      <c r="R70" s="459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">
      <c r="A71" s="729"/>
      <c r="B71" s="952"/>
      <c r="C71" s="952"/>
      <c r="D71" s="952"/>
      <c r="E71" s="952"/>
      <c r="F71" s="952"/>
      <c r="G71" s="952"/>
      <c r="H71" s="952"/>
      <c r="N71" s="459"/>
      <c r="O71" s="459"/>
      <c r="P71" s="459"/>
      <c r="Q71" s="459"/>
      <c r="R71" s="459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">
      <c r="A72" s="709"/>
      <c r="B72" s="709"/>
      <c r="C72" s="709"/>
      <c r="D72" s="709"/>
      <c r="E72" s="709"/>
      <c r="F72" s="709"/>
      <c r="G72" s="709"/>
      <c r="H72" s="709"/>
      <c r="N72" s="459"/>
      <c r="O72" s="736" t="s">
        <v>429</v>
      </c>
      <c r="P72" s="43"/>
      <c r="Q72" s="43"/>
      <c r="R72" s="459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x14ac:dyDescent="0.2">
      <c r="A73" s="730" t="s">
        <v>424</v>
      </c>
      <c r="B73" s="716"/>
      <c r="C73" s="716"/>
      <c r="D73" s="716"/>
      <c r="E73" s="716"/>
      <c r="F73" s="716"/>
      <c r="G73" s="716"/>
      <c r="H73" s="716"/>
      <c r="I73" s="702"/>
      <c r="J73" s="702"/>
      <c r="K73" s="702"/>
      <c r="L73" s="702"/>
      <c r="M73" s="160"/>
      <c r="N73" s="459"/>
      <c r="O73" s="745">
        <f>IF(O74&lt;150,(ROUND((L38/D8)/25000,0)),(ROUND(((L38/D8)/25000)+1,0)))</f>
        <v>0</v>
      </c>
      <c r="P73" s="746">
        <f>IF($I$7&gt;0,(O73*25000),0)</f>
        <v>0</v>
      </c>
      <c r="Q73" s="43" t="s">
        <v>430</v>
      </c>
      <c r="R73" s="459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">
      <c r="A74" s="709" t="s">
        <v>425</v>
      </c>
      <c r="B74" s="716">
        <f>IF($I$7="X",B39-B75,0)</f>
        <v>0</v>
      </c>
      <c r="C74" s="716">
        <f>IF($I$7="X",C39-C75,0)</f>
        <v>0</v>
      </c>
      <c r="D74" s="716">
        <f>IF($I$7&gt;0,D39-D75,0)</f>
        <v>0</v>
      </c>
      <c r="E74" s="716">
        <f>IF($I$7&gt;0,E39-E75,0)</f>
        <v>0</v>
      </c>
      <c r="F74" s="716">
        <f>IF($I$7&gt;0,F39-F75,0)</f>
        <v>0</v>
      </c>
      <c r="G74" s="716"/>
      <c r="H74" s="716">
        <f t="shared" ref="H74:H83" si="32">SUM(B74:F74)</f>
        <v>0</v>
      </c>
      <c r="I74" s="701"/>
      <c r="J74" s="701"/>
      <c r="K74" s="701"/>
      <c r="L74" s="701"/>
      <c r="N74" s="459"/>
      <c r="O74" s="736">
        <f>(L38)-((ROUND((L38/D8)/25000,0))*25000)*D8</f>
        <v>0</v>
      </c>
      <c r="P74" s="741" t="s">
        <v>431</v>
      </c>
      <c r="Q74" s="71" t="s">
        <v>432</v>
      </c>
      <c r="R74" s="459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">
      <c r="A75" s="709" t="s">
        <v>414</v>
      </c>
      <c r="B75" s="716">
        <f>IF($I$7="X",IF(B91&gt;0,B91,(IF($I$7&gt;0,IF(B41=0,0,($P$73))))),0)</f>
        <v>0</v>
      </c>
      <c r="C75" s="716">
        <f>IF($I$7="X",IF(C91&gt;0,C91,(IF($I$7&gt;0,IF(C41=0,0,($P$73))))),0)</f>
        <v>0</v>
      </c>
      <c r="D75" s="716">
        <f>IF($I$7="X",IF(D91&gt;0,D91,(IF($I$7&gt;0,IF(D41=0,0,($P$73))))),0)</f>
        <v>0</v>
      </c>
      <c r="E75" s="716">
        <f>IF($I$7="X",IF(E91&gt;0,E91,(IF($I$7&gt;0,IF(E41=0,0,($P$73))))),0)</f>
        <v>0</v>
      </c>
      <c r="F75" s="716">
        <f>IF($I$7="X",IF(F91&gt;0,F91,(IF($I$7&gt;0,IF(F41=0,0,($P$73))))),0)</f>
        <v>0</v>
      </c>
      <c r="G75" s="716"/>
      <c r="H75" s="716">
        <f t="shared" si="32"/>
        <v>0</v>
      </c>
      <c r="I75" s="702"/>
      <c r="J75" s="702"/>
      <c r="K75" s="702"/>
      <c r="L75" s="702"/>
      <c r="N75" s="459"/>
      <c r="O75" s="459"/>
      <c r="P75" s="459"/>
      <c r="Q75" s="459"/>
      <c r="R75" s="459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">
      <c r="A76" s="709" t="s">
        <v>408</v>
      </c>
      <c r="B76" s="731">
        <f>IF(($I$7="X")*AND(B75+B40+N39&gt;0),(B75+B40+N39),0)</f>
        <v>0</v>
      </c>
      <c r="C76" s="731">
        <f>IF(($I$7="X")*AND(C75+C40+O39&gt;0),(C75+C40+O39),0)</f>
        <v>0</v>
      </c>
      <c r="D76" s="731">
        <f>IF(($I$7="X")*AND(D75+D40+P39&gt;0),(D75+D40+P39),0)</f>
        <v>0</v>
      </c>
      <c r="E76" s="731">
        <f>IF(($I$7="X")*AND(E75+E40+Q39)&gt;0,(E75+E40+Q39),0)</f>
        <v>0</v>
      </c>
      <c r="F76" s="731">
        <f>IF(($I$7="X")*AND(F75+F40+R39&gt;0),(F75+F40+R39),0)</f>
        <v>0</v>
      </c>
      <c r="G76" s="716"/>
      <c r="H76" s="716">
        <f t="shared" si="32"/>
        <v>0</v>
      </c>
      <c r="I76" s="703"/>
      <c r="J76" s="703"/>
      <c r="K76" s="703"/>
      <c r="L76" s="703"/>
      <c r="N76" s="459"/>
      <c r="O76" s="459"/>
      <c r="P76" s="459"/>
      <c r="Q76" s="459"/>
      <c r="R76" s="459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">
      <c r="A77" s="732" t="s">
        <v>426</v>
      </c>
      <c r="B77" s="731">
        <f>IF($I$7="X",IF('Salary Detail'!$B$20=0,(IF(('Salary Detail'!$B$15="X")*AND('Salary Detail'!$B$17="X"),IF(O53*B76&gt;0,O53*B76,0))),0),0)</f>
        <v>0</v>
      </c>
      <c r="C77" s="731" t="b">
        <f>IF('Salary Detail'!$B$20=0,(IF(('Salary Detail'!$B$15="X")*AND('Salary Detail'!$B$17="X"),IF(P53*C76&gt;0,P53*C76,0))),0)</f>
        <v>0</v>
      </c>
      <c r="D77" s="731" t="b">
        <f>IF('Salary Detail'!$B$20=0,(IF(('Salary Detail'!$B$15="X")*AND('Salary Detail'!$B$17="X"),IF(Q53*D76&gt;0,Q53*D76,0))),0)</f>
        <v>0</v>
      </c>
      <c r="E77" s="731" t="b">
        <f>IF('Salary Detail'!$B$20=0,(IF(('Salary Detail'!$B$15="X")*AND('Salary Detail'!$B$17="X"),IF(R53*E76&gt;0,R53*E76,0))),0)</f>
        <v>0</v>
      </c>
      <c r="F77" s="731" t="b">
        <f>IF('Salary Detail'!$B$20=0,(IF(('Salary Detail'!$B$15="X")*AND('Salary Detail'!$B$17="X"),IF(S53*F76&gt;0,S53*F76,0))),0)</f>
        <v>0</v>
      </c>
      <c r="G77" s="716"/>
      <c r="H77" s="716">
        <f t="shared" si="32"/>
        <v>0</v>
      </c>
      <c r="I77" s="703"/>
      <c r="J77" s="703"/>
      <c r="K77" s="703"/>
      <c r="L77" s="70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">
      <c r="A78" s="732" t="s">
        <v>337</v>
      </c>
      <c r="B78" s="731">
        <f>IF('Salary Detail'!$B$20=0,(IF('Salary Detail'!$B$20=0,(IF(('Salary Detail'!$B$15="X")*AND('Salary Detail'!$B$17="X"),SUM(B76-B77),0)),0)),0)</f>
        <v>0</v>
      </c>
      <c r="C78" s="731">
        <f>IF('Salary Detail'!$B$20=0,(IF('Salary Detail'!$B$20=0,(IF(('Salary Detail'!$B$15="X")*AND('Salary Detail'!$B$17="X"),SUM(C76-C77),0)),0)),0)</f>
        <v>0</v>
      </c>
      <c r="D78" s="731">
        <f>IF('Salary Detail'!$B$20=0,(IF('Salary Detail'!$B$20=0,(IF(('Salary Detail'!$B$15="X")*AND('Salary Detail'!$B$17="X"),SUM(D76-D77),0)),0)),0)</f>
        <v>0</v>
      </c>
      <c r="E78" s="731">
        <f>IF('Salary Detail'!$B$20=0,(IF('Salary Detail'!$B$20=0,(IF(('Salary Detail'!$B$15="X")*AND('Salary Detail'!$B$17="X"),SUM(E76-E77),0)),0)),0)</f>
        <v>0</v>
      </c>
      <c r="F78" s="731">
        <f>IF('Salary Detail'!$B$20=0,(IF('Salary Detail'!$B$20=0,(IF(('Salary Detail'!$B$15="X")*AND('Salary Detail'!$B$17="X"),SUM(F76-F77),0)),0)),0)</f>
        <v>0</v>
      </c>
      <c r="G78" s="716"/>
      <c r="H78" s="716">
        <f t="shared" si="32"/>
        <v>0</v>
      </c>
      <c r="I78" s="703"/>
      <c r="J78" s="703"/>
      <c r="K78" s="703"/>
      <c r="L78" s="70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">
      <c r="A79" s="709" t="s">
        <v>214</v>
      </c>
      <c r="B79" s="731">
        <f>IF($I$7="X",B40,0)</f>
        <v>0</v>
      </c>
      <c r="C79" s="731">
        <f>IF($I$7="X",C40,0)</f>
        <v>0</v>
      </c>
      <c r="D79" s="731">
        <f>IF($I$7="X",D40,0)</f>
        <v>0</v>
      </c>
      <c r="E79" s="731">
        <f>IF($I$7="X",E40,0)</f>
        <v>0</v>
      </c>
      <c r="F79" s="731">
        <f>IF($I$7="X",F40,0)</f>
        <v>0</v>
      </c>
      <c r="G79" s="716"/>
      <c r="H79" s="716">
        <f t="shared" si="32"/>
        <v>0</v>
      </c>
      <c r="I79" s="703"/>
      <c r="J79" s="703"/>
      <c r="K79" s="703"/>
      <c r="L79" s="70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">
      <c r="A80" s="732" t="s">
        <v>338</v>
      </c>
      <c r="B80" s="731">
        <f>IF($I$7="X",ROUND(B77*0.51,0),0)</f>
        <v>0</v>
      </c>
      <c r="C80" s="731">
        <f>IF($I$7="X",ROUND(C77*0.51,0),0)</f>
        <v>0</v>
      </c>
      <c r="D80" s="731">
        <f>IF($I$7="X",ROUND(D77*0.51,0),0)</f>
        <v>0</v>
      </c>
      <c r="E80" s="731">
        <f>IF($I$7="X",ROUND(E77*0.51,0),0)</f>
        <v>0</v>
      </c>
      <c r="F80" s="731">
        <f>IF($I$7="X",ROUND(F77*0.51,0),0)</f>
        <v>0</v>
      </c>
      <c r="G80" s="716"/>
      <c r="H80" s="716">
        <f t="shared" si="32"/>
        <v>0</v>
      </c>
      <c r="I80" s="703"/>
      <c r="J80" s="703"/>
      <c r="K80" s="703"/>
      <c r="L80" s="70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">
      <c r="A81" s="732" t="s">
        <v>373</v>
      </c>
      <c r="B81" s="731">
        <f>IF(($I$7="X")*AND($M$48=0),B82-B80,0)</f>
        <v>0</v>
      </c>
      <c r="C81" s="731">
        <f>IF(($I$7="X")*AND($M$48=0),C82-C80,0)</f>
        <v>0</v>
      </c>
      <c r="D81" s="731">
        <f>IF(($I$7="X")*AND($M$48=0),D82-D80,0)</f>
        <v>0</v>
      </c>
      <c r="E81" s="731">
        <f>IF(($I$7="X")*AND($M$48=0),E82-E80,0)</f>
        <v>0</v>
      </c>
      <c r="F81" s="731">
        <f>IF(($I$7="X")*AND($M$48=0),F82-F80,0)</f>
        <v>0</v>
      </c>
      <c r="G81" s="716"/>
      <c r="H81" s="716">
        <f t="shared" si="32"/>
        <v>0</v>
      </c>
      <c r="I81" s="703"/>
      <c r="J81" s="703"/>
      <c r="K81" s="703"/>
      <c r="L81" s="70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">
      <c r="A82" s="709" t="s">
        <v>427</v>
      </c>
      <c r="B82" s="731">
        <f>IF($M$48&gt;0,B76*IDCPCNT,(ROUND((IF(O53*B76&gt;0,O53*B76,0*B76))*0.505,0)+ROUND((IF(O53&gt;0,(1-O53),1)*B76)*0.51,0)))</f>
        <v>0</v>
      </c>
      <c r="C82" s="731">
        <f>IF($M$48&gt;0,C76*IDCPCNT,(ROUND((IF(P53*C76&gt;0,P53*C76,0*C76))*0.505,0)+ROUND((IF(P53&gt;0,(1-P53),1)*C76)*0.51,0)))</f>
        <v>0</v>
      </c>
      <c r="D82" s="731">
        <f>IF($M$48&gt;0,D76*IDCPCNT,(ROUND((IF(Q53*D76&gt;0,Q53*D76,0*D76))*0.505,0)+ROUND((IF(Q53&gt;0,(1-Q53),1)*D76)*0.51,0)))</f>
        <v>0</v>
      </c>
      <c r="E82" s="731">
        <f>IF($M$48&gt;0,E76*IDCPCNT,(ROUND((IF(R53*E76&gt;0,R53*E76,0*E76))*0.505,0)+ROUND((IF(R53&gt;0,(1-R53),1)*E76)*0.51,0)))</f>
        <v>0</v>
      </c>
      <c r="F82" s="731">
        <f>IF($M$48&gt;0,F76*IDCPCNT,(ROUND((IF(S53*F76&gt;0,S53*F76,0*F76))*0.505,0)+ROUND((IF(S53&gt;0,(1-S53),1)*F76)*0.51,0)))</f>
        <v>0</v>
      </c>
      <c r="G82" s="716"/>
      <c r="H82" s="716">
        <f t="shared" si="32"/>
        <v>0</v>
      </c>
      <c r="I82" s="703"/>
      <c r="J82" s="703"/>
      <c r="K82" s="703"/>
      <c r="L82" s="70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">
      <c r="A83" s="709" t="s">
        <v>418</v>
      </c>
      <c r="B83" s="716">
        <f>B75+B79</f>
        <v>0</v>
      </c>
      <c r="C83" s="716">
        <f>C75+C79</f>
        <v>0</v>
      </c>
      <c r="D83" s="716">
        <f>D75+D79</f>
        <v>0</v>
      </c>
      <c r="E83" s="716">
        <f>E75+E79</f>
        <v>0</v>
      </c>
      <c r="F83" s="716">
        <f>F75+F79</f>
        <v>0</v>
      </c>
      <c r="G83" s="716"/>
      <c r="H83" s="716">
        <f t="shared" si="32"/>
        <v>0</v>
      </c>
      <c r="I83" s="702"/>
      <c r="J83" s="702"/>
      <c r="K83" s="702"/>
      <c r="L83" s="702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">
      <c r="A84" s="709" t="s">
        <v>428</v>
      </c>
      <c r="B84" s="716">
        <f>B82+B83</f>
        <v>0</v>
      </c>
      <c r="C84" s="716">
        <f>C82+C83</f>
        <v>0</v>
      </c>
      <c r="D84" s="716">
        <f>D82+D83</f>
        <v>0</v>
      </c>
      <c r="E84" s="716">
        <f>E82+E83</f>
        <v>0</v>
      </c>
      <c r="F84" s="716">
        <f>F82+F83</f>
        <v>0</v>
      </c>
      <c r="G84" s="716"/>
      <c r="H84" s="716">
        <f>SUM(H82+H83)</f>
        <v>0</v>
      </c>
      <c r="I84" s="702"/>
      <c r="J84" s="702"/>
      <c r="K84" s="702"/>
      <c r="L84" s="702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IPuBaht3hP6xi8eejP0JPiduuE1SykITC3LeNrrA3k8zoDZAds5su4vPUUBXiex31xJGOeSM8UZr96luxjHM4w==" saltValue="MijWBSR3XcK++zknTDy3YA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J1" sqref="J1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40" t="s">
        <v>298</v>
      </c>
      <c r="I1" s="460" t="s">
        <v>315</v>
      </c>
      <c r="J1" s="461">
        <f ca="1">TODAY()</f>
        <v>44638</v>
      </c>
    </row>
    <row r="2" spans="1:11" ht="15" x14ac:dyDescent="0.2">
      <c r="F2" s="454" t="str">
        <f>IF('Salary Detail'!E8&gt;0, CONCATENATE("Sponsor: ",'Salary Detail'!E8), " ")</f>
        <v xml:space="preserve"> </v>
      </c>
    </row>
    <row r="3" spans="1:11" ht="15" x14ac:dyDescent="0.2">
      <c r="F3" s="454" t="str">
        <f>IF('Salary Detail'!E5&gt;0,CONCATENATE("Principal Investigator: ",'Salary Detail'!E5)," ")</f>
        <v xml:space="preserve"> </v>
      </c>
    </row>
    <row r="4" spans="1:11" ht="15" x14ac:dyDescent="0.2">
      <c r="F4" s="454" t="str">
        <f>IF('Salary Detail'!E6&gt;0,CONCATENATE("Department: ",'Salary Detail'!E6)," ")</f>
        <v xml:space="preserve"> </v>
      </c>
    </row>
    <row r="5" spans="1:11" ht="15" x14ac:dyDescent="0.2">
      <c r="F5" s="455" t="str">
        <f>IF('Salary Detail'!E7&gt;0,CONCATENATE("“",'Salary Detail'!E7,"”")," ")</f>
        <v xml:space="preserve"> </v>
      </c>
    </row>
    <row r="6" spans="1:11" ht="14.1" customHeight="1" x14ac:dyDescent="0.25">
      <c r="E6" s="440"/>
    </row>
    <row r="7" spans="1:11" ht="14.1" customHeight="1" x14ac:dyDescent="0.25">
      <c r="A7" s="383" t="s">
        <v>306</v>
      </c>
      <c r="E7" s="440"/>
    </row>
    <row r="8" spans="1:11" ht="14.1" customHeight="1" x14ac:dyDescent="0.25">
      <c r="A8" s="383" t="s">
        <v>310</v>
      </c>
      <c r="E8" s="440"/>
    </row>
    <row r="9" spans="1:11" ht="14.1" customHeight="1" x14ac:dyDescent="0.25">
      <c r="A9" s="383" t="s">
        <v>311</v>
      </c>
      <c r="E9" s="440"/>
    </row>
    <row r="10" spans="1:11" ht="14.1" customHeight="1" x14ac:dyDescent="0.25">
      <c r="A10" s="383" t="s">
        <v>305</v>
      </c>
      <c r="E10" s="440"/>
    </row>
    <row r="11" spans="1:11" ht="14.1" customHeight="1" thickBot="1" x14ac:dyDescent="0.25">
      <c r="A11" s="383" t="s">
        <v>307</v>
      </c>
      <c r="E11" s="476" t="str">
        <f>IF('Salary Detail'!F18=0,"",'Salary Detail'!F18)</f>
        <v/>
      </c>
      <c r="F11" s="383" t="s">
        <v>308</v>
      </c>
      <c r="J11" s="475">
        <f>IF(E11="X",'Salary Detail'!$L$18,0)</f>
        <v>0</v>
      </c>
    </row>
    <row r="12" spans="1:11" ht="13.5" thickBot="1" x14ac:dyDescent="0.25"/>
    <row r="13" spans="1:11" ht="39" thickBot="1" x14ac:dyDescent="0.25">
      <c r="A13" s="456" t="s">
        <v>313</v>
      </c>
      <c r="B13" s="441" t="s">
        <v>222</v>
      </c>
      <c r="C13" s="441" t="s">
        <v>224</v>
      </c>
      <c r="D13" s="442" t="s">
        <v>299</v>
      </c>
      <c r="E13" s="443" t="s">
        <v>300</v>
      </c>
      <c r="F13" s="443" t="s">
        <v>304</v>
      </c>
      <c r="G13" s="443" t="s">
        <v>301</v>
      </c>
      <c r="H13" s="443" t="s">
        <v>302</v>
      </c>
      <c r="I13" s="443" t="s">
        <v>309</v>
      </c>
      <c r="J13" s="443" t="s">
        <v>303</v>
      </c>
      <c r="K13" s="450"/>
    </row>
    <row r="14" spans="1:11" ht="15" customHeight="1" thickBot="1" x14ac:dyDescent="0.25">
      <c r="A14" s="477" t="str">
        <f>IF('Salary Detail'!P24&gt;0,'Salary Detail'!P24," ")</f>
        <v xml:space="preserve"> </v>
      </c>
      <c r="B14" s="478" t="str">
        <f>IF('Salary Detail'!A24&gt;0,'Salary Detail'!A24," ")</f>
        <v xml:space="preserve"> </v>
      </c>
      <c r="C14" s="478" t="str">
        <f>IF('Salary Detail'!B24&gt;0,'Salary Detail'!B24," ")</f>
        <v xml:space="preserve"> </v>
      </c>
      <c r="D14" s="648" t="str">
        <f>IF('Salary Detail'!C24=0,"",'Salary Detail'!C24)</f>
        <v/>
      </c>
      <c r="E14" s="649" t="str">
        <f>IF('Salary Detail'!D24=0,"",'Salary Detail'!D24)</f>
        <v/>
      </c>
      <c r="F14" s="479" t="str">
        <f>'Salary Detail'!I24</f>
        <v/>
      </c>
      <c r="G14" s="444"/>
      <c r="H14" s="449">
        <f>IF(G14&gt;0,((G14/E14)*12)/D14,0)</f>
        <v>0</v>
      </c>
      <c r="I14" s="451" t="str">
        <f t="shared" ref="I14:I53" si="0">IFERROR(IF(H14&gt;$J$11,F14*$J$11,F14*H14),"")</f>
        <v/>
      </c>
      <c r="J14" s="452">
        <f>IF(G14&gt;0,I14/G14,0)</f>
        <v>0</v>
      </c>
    </row>
    <row r="15" spans="1:11" ht="15" customHeight="1" x14ac:dyDescent="0.2">
      <c r="A15" s="477" t="str">
        <f>IF('Salary Detail'!P25&gt;0,'Salary Detail'!P25," ")</f>
        <v xml:space="preserve"> </v>
      </c>
      <c r="B15" s="480" t="str">
        <f>IF('Salary Detail'!A25&gt;0,'Salary Detail'!A25," ")</f>
        <v xml:space="preserve"> </v>
      </c>
      <c r="C15" s="480" t="str">
        <f>IF('Salary Detail'!B25&gt;0,'Salary Detail'!B25," ")</f>
        <v xml:space="preserve"> </v>
      </c>
      <c r="D15" s="481" t="str">
        <f>IF('Salary Detail'!C25=0,"",'Salary Detail'!C25)</f>
        <v/>
      </c>
      <c r="E15" s="480" t="str">
        <f>IF('Salary Detail'!D25=0,"",'Salary Detail'!D25)</f>
        <v/>
      </c>
      <c r="F15" s="481" t="str">
        <f>'Salary Detail'!I25</f>
        <v/>
      </c>
      <c r="G15" s="445"/>
      <c r="H15" s="449">
        <f>IF(G15&gt;0,((G15/E15)*12)/D15,0)</f>
        <v>0</v>
      </c>
      <c r="I15" s="447" t="str">
        <f t="shared" si="0"/>
        <v/>
      </c>
      <c r="J15" s="453">
        <f t="shared" ref="J15:J53" si="1">IF(G15&gt;0,I15/G15,0)</f>
        <v>0</v>
      </c>
    </row>
    <row r="16" spans="1:11" ht="15" customHeight="1" x14ac:dyDescent="0.2">
      <c r="A16" s="477" t="str">
        <f>IF('Salary Detail'!P26&gt;0,'Salary Detail'!P26," ")</f>
        <v xml:space="preserve"> </v>
      </c>
      <c r="B16" s="482" t="str">
        <f>IF('Salary Detail'!A26&gt;0,'Salary Detail'!A26," ")</f>
        <v xml:space="preserve"> </v>
      </c>
      <c r="C16" s="480" t="str">
        <f>IF('Salary Detail'!B26&gt;0,'Salary Detail'!B26," ")</f>
        <v xml:space="preserve"> </v>
      </c>
      <c r="D16" s="481" t="str">
        <f>IF('Salary Detail'!C26=0,"",'Salary Detail'!C26)</f>
        <v/>
      </c>
      <c r="E16" s="480" t="str">
        <f>IF('Salary Detail'!D26=0,"",'Salary Detail'!D26)</f>
        <v/>
      </c>
      <c r="F16" s="481" t="str">
        <f>'Salary Detail'!I26</f>
        <v/>
      </c>
      <c r="G16" s="445"/>
      <c r="H16" s="448">
        <f t="shared" ref="H16:H53" si="2">IF(G16&gt;0,((G16/E16)*12)/D16,0)</f>
        <v>0</v>
      </c>
      <c r="I16" s="447" t="str">
        <f t="shared" si="0"/>
        <v/>
      </c>
      <c r="J16" s="453">
        <f t="shared" si="1"/>
        <v>0</v>
      </c>
    </row>
    <row r="17" spans="1:10" ht="15" customHeight="1" x14ac:dyDescent="0.2">
      <c r="A17" s="477" t="str">
        <f>IF('Salary Detail'!P27&gt;0,'Salary Detail'!P27," ")</f>
        <v xml:space="preserve"> </v>
      </c>
      <c r="B17" s="480" t="str">
        <f>IF('Salary Detail'!A27&gt;0,'Salary Detail'!A27," ")</f>
        <v xml:space="preserve"> </v>
      </c>
      <c r="C17" s="480" t="str">
        <f>IF('Salary Detail'!B27&gt;0,'Salary Detail'!B27," ")</f>
        <v xml:space="preserve"> </v>
      </c>
      <c r="D17" s="481" t="str">
        <f>IF('Salary Detail'!C27=0,"",'Salary Detail'!C27)</f>
        <v/>
      </c>
      <c r="E17" s="480" t="str">
        <f>IF('Salary Detail'!D27=0,"",'Salary Detail'!D27)</f>
        <v/>
      </c>
      <c r="F17" s="481" t="str">
        <f>'Salary Detail'!I27</f>
        <v/>
      </c>
      <c r="G17" s="445"/>
      <c r="H17" s="448">
        <f t="shared" si="2"/>
        <v>0</v>
      </c>
      <c r="I17" s="447" t="str">
        <f t="shared" si="0"/>
        <v/>
      </c>
      <c r="J17" s="453">
        <f t="shared" si="1"/>
        <v>0</v>
      </c>
    </row>
    <row r="18" spans="1:10" ht="15" customHeight="1" x14ac:dyDescent="0.2">
      <c r="A18" s="477" t="str">
        <f>IF('Salary Detail'!P28&gt;0,'Salary Detail'!P28," ")</f>
        <v xml:space="preserve"> </v>
      </c>
      <c r="B18" s="480" t="str">
        <f>IF('Salary Detail'!A28&gt;0,'Salary Detail'!A28," ")</f>
        <v xml:space="preserve"> </v>
      </c>
      <c r="C18" s="480" t="str">
        <f>IF('Salary Detail'!B28&gt;0,'Salary Detail'!B28," ")</f>
        <v xml:space="preserve"> </v>
      </c>
      <c r="D18" s="481" t="str">
        <f>IF('Salary Detail'!C28=0,"",'Salary Detail'!C28)</f>
        <v/>
      </c>
      <c r="E18" s="480" t="str">
        <f>IF('Salary Detail'!D28=0,"",'Salary Detail'!D28)</f>
        <v/>
      </c>
      <c r="F18" s="481" t="str">
        <f>'Salary Detail'!I28</f>
        <v/>
      </c>
      <c r="G18" s="445"/>
      <c r="H18" s="448">
        <f t="shared" si="2"/>
        <v>0</v>
      </c>
      <c r="I18" s="447" t="str">
        <f t="shared" si="0"/>
        <v/>
      </c>
      <c r="J18" s="453">
        <f t="shared" si="1"/>
        <v>0</v>
      </c>
    </row>
    <row r="19" spans="1:10" ht="15" customHeight="1" x14ac:dyDescent="0.2">
      <c r="A19" s="477" t="str">
        <f>IF('Salary Detail'!P29&gt;0,'Salary Detail'!P29," ")</f>
        <v xml:space="preserve"> </v>
      </c>
      <c r="B19" s="480" t="str">
        <f>IF('Salary Detail'!A29&gt;0,'Salary Detail'!A29," ")</f>
        <v xml:space="preserve"> </v>
      </c>
      <c r="C19" s="480" t="str">
        <f>IF('Salary Detail'!B29&gt;0,'Salary Detail'!B29," ")</f>
        <v xml:space="preserve"> </v>
      </c>
      <c r="D19" s="481" t="str">
        <f>IF('Salary Detail'!C29=0,"",'Salary Detail'!C29)</f>
        <v/>
      </c>
      <c r="E19" s="480" t="str">
        <f>IF('Salary Detail'!D29=0,"",'Salary Detail'!D29)</f>
        <v/>
      </c>
      <c r="F19" s="481" t="str">
        <f>'Salary Detail'!I29</f>
        <v/>
      </c>
      <c r="G19" s="445"/>
      <c r="H19" s="448">
        <f t="shared" si="2"/>
        <v>0</v>
      </c>
      <c r="I19" s="447" t="str">
        <f t="shared" si="0"/>
        <v/>
      </c>
      <c r="J19" s="453">
        <f t="shared" si="1"/>
        <v>0</v>
      </c>
    </row>
    <row r="20" spans="1:10" ht="15" customHeight="1" x14ac:dyDescent="0.2">
      <c r="A20" s="477" t="str">
        <f>IF('Salary Detail'!P30&gt;0,'Salary Detail'!P30," ")</f>
        <v xml:space="preserve"> </v>
      </c>
      <c r="B20" s="480" t="str">
        <f>IF('Salary Detail'!A30&gt;0,'Salary Detail'!A30," ")</f>
        <v xml:space="preserve"> </v>
      </c>
      <c r="C20" s="480" t="str">
        <f>IF('Salary Detail'!B30&gt;0,'Salary Detail'!B30," ")</f>
        <v xml:space="preserve"> </v>
      </c>
      <c r="D20" s="481" t="str">
        <f>IF('Salary Detail'!C30=0,"",'Salary Detail'!C30)</f>
        <v/>
      </c>
      <c r="E20" s="480" t="str">
        <f>IF('Salary Detail'!D30=0,"",'Salary Detail'!D30)</f>
        <v/>
      </c>
      <c r="F20" s="481" t="str">
        <f>'Salary Detail'!I30</f>
        <v/>
      </c>
      <c r="G20" s="445"/>
      <c r="H20" s="448">
        <f t="shared" si="2"/>
        <v>0</v>
      </c>
      <c r="I20" s="447" t="str">
        <f t="shared" si="0"/>
        <v/>
      </c>
      <c r="J20" s="453">
        <f t="shared" si="1"/>
        <v>0</v>
      </c>
    </row>
    <row r="21" spans="1:10" ht="15" customHeight="1" x14ac:dyDescent="0.2">
      <c r="A21" s="477" t="str">
        <f>IF('Salary Detail'!P31&gt;0,'Salary Detail'!P31," ")</f>
        <v xml:space="preserve"> </v>
      </c>
      <c r="B21" s="480" t="str">
        <f>IF('Salary Detail'!A31&gt;0,'Salary Detail'!A31," ")</f>
        <v xml:space="preserve"> </v>
      </c>
      <c r="C21" s="480" t="str">
        <f>IF('Salary Detail'!B31&gt;0,'Salary Detail'!B31," ")</f>
        <v xml:space="preserve"> </v>
      </c>
      <c r="D21" s="481" t="str">
        <f>IF('Salary Detail'!C31=0,"",'Salary Detail'!C31)</f>
        <v/>
      </c>
      <c r="E21" s="480" t="str">
        <f>IF('Salary Detail'!D31=0,"",'Salary Detail'!D31)</f>
        <v/>
      </c>
      <c r="F21" s="481" t="str">
        <f>'Salary Detail'!I31</f>
        <v/>
      </c>
      <c r="G21" s="445"/>
      <c r="H21" s="448">
        <f t="shared" si="2"/>
        <v>0</v>
      </c>
      <c r="I21" s="447" t="str">
        <f t="shared" si="0"/>
        <v/>
      </c>
      <c r="J21" s="453">
        <f t="shared" si="1"/>
        <v>0</v>
      </c>
    </row>
    <row r="22" spans="1:10" ht="15" customHeight="1" x14ac:dyDescent="0.2">
      <c r="A22" s="477" t="str">
        <f>IF('Salary Detail'!P32&gt;0,'Salary Detail'!P32," ")</f>
        <v xml:space="preserve"> </v>
      </c>
      <c r="B22" s="480" t="str">
        <f>IF('Salary Detail'!A32&gt;0,'Salary Detail'!A32," ")</f>
        <v xml:space="preserve"> </v>
      </c>
      <c r="C22" s="480" t="str">
        <f>IF('Salary Detail'!B32&gt;0,'Salary Detail'!B32," ")</f>
        <v xml:space="preserve"> </v>
      </c>
      <c r="D22" s="481" t="str">
        <f>IF('Salary Detail'!C32=0,"",'Salary Detail'!C32)</f>
        <v/>
      </c>
      <c r="E22" s="480" t="str">
        <f>IF('Salary Detail'!D32=0,"",'Salary Detail'!D32)</f>
        <v/>
      </c>
      <c r="F22" s="481" t="str">
        <f>'Salary Detail'!I32</f>
        <v/>
      </c>
      <c r="G22" s="445"/>
      <c r="H22" s="448">
        <f t="shared" si="2"/>
        <v>0</v>
      </c>
      <c r="I22" s="447" t="str">
        <f t="shared" si="0"/>
        <v/>
      </c>
      <c r="J22" s="453">
        <f t="shared" si="1"/>
        <v>0</v>
      </c>
    </row>
    <row r="23" spans="1:10" ht="15" customHeight="1" x14ac:dyDescent="0.2">
      <c r="A23" s="477" t="str">
        <f>IF('Salary Detail'!P33&gt;0,'Salary Detail'!P33," ")</f>
        <v xml:space="preserve"> </v>
      </c>
      <c r="B23" s="480" t="str">
        <f>IF('Salary Detail'!A33&gt;0,'Salary Detail'!A33," ")</f>
        <v xml:space="preserve"> </v>
      </c>
      <c r="C23" s="480" t="str">
        <f>IF('Salary Detail'!B33&gt;0,'Salary Detail'!B33," ")</f>
        <v xml:space="preserve"> </v>
      </c>
      <c r="D23" s="481" t="str">
        <f>IF('Salary Detail'!C33=0,"",'Salary Detail'!C33)</f>
        <v/>
      </c>
      <c r="E23" s="480" t="str">
        <f>IF('Salary Detail'!D33=0,"",'Salary Detail'!D33)</f>
        <v/>
      </c>
      <c r="F23" s="481" t="str">
        <f>'Salary Detail'!I33</f>
        <v/>
      </c>
      <c r="G23" s="445"/>
      <c r="H23" s="448">
        <f t="shared" si="2"/>
        <v>0</v>
      </c>
      <c r="I23" s="447" t="str">
        <f t="shared" si="0"/>
        <v/>
      </c>
      <c r="J23" s="453">
        <f t="shared" si="1"/>
        <v>0</v>
      </c>
    </row>
    <row r="24" spans="1:10" ht="15" customHeight="1" x14ac:dyDescent="0.2">
      <c r="A24" s="477" t="str">
        <f>IF('Salary Detail'!P34&gt;0,'Salary Detail'!P34," ")</f>
        <v xml:space="preserve"> </v>
      </c>
      <c r="B24" s="480" t="str">
        <f>IF('Salary Detail'!A34&gt;0,'Salary Detail'!A34," ")</f>
        <v xml:space="preserve"> </v>
      </c>
      <c r="C24" s="480" t="str">
        <f>IF('Salary Detail'!B34&gt;0,'Salary Detail'!B34," ")</f>
        <v xml:space="preserve"> </v>
      </c>
      <c r="D24" s="481" t="str">
        <f>IF('Salary Detail'!C34=0,"",'Salary Detail'!C34)</f>
        <v/>
      </c>
      <c r="E24" s="480" t="str">
        <f>IF('Salary Detail'!D34=0,"",'Salary Detail'!D34)</f>
        <v/>
      </c>
      <c r="F24" s="481" t="str">
        <f>'Salary Detail'!I34</f>
        <v/>
      </c>
      <c r="G24" s="445"/>
      <c r="H24" s="448">
        <f t="shared" si="2"/>
        <v>0</v>
      </c>
      <c r="I24" s="447" t="str">
        <f t="shared" si="0"/>
        <v/>
      </c>
      <c r="J24" s="453">
        <f t="shared" si="1"/>
        <v>0</v>
      </c>
    </row>
    <row r="25" spans="1:10" ht="15" customHeight="1" x14ac:dyDescent="0.2">
      <c r="A25" s="477" t="str">
        <f>IF('Salary Detail'!P35&gt;0,'Salary Detail'!P35," ")</f>
        <v xml:space="preserve"> </v>
      </c>
      <c r="B25" s="480" t="str">
        <f>IF('Salary Detail'!A35&gt;0,'Salary Detail'!A35," ")</f>
        <v xml:space="preserve"> </v>
      </c>
      <c r="C25" s="480" t="str">
        <f>IF('Salary Detail'!B35&gt;0,'Salary Detail'!B35," ")</f>
        <v xml:space="preserve"> </v>
      </c>
      <c r="D25" s="481" t="str">
        <f>IF('Salary Detail'!C35=0,"",'Salary Detail'!C35)</f>
        <v/>
      </c>
      <c r="E25" s="480" t="str">
        <f>IF('Salary Detail'!D35=0,"",'Salary Detail'!D35)</f>
        <v/>
      </c>
      <c r="F25" s="481" t="str">
        <f>'Salary Detail'!I35</f>
        <v/>
      </c>
      <c r="G25" s="445"/>
      <c r="H25" s="448">
        <f t="shared" si="2"/>
        <v>0</v>
      </c>
      <c r="I25" s="447" t="str">
        <f t="shared" si="0"/>
        <v/>
      </c>
      <c r="J25" s="453">
        <f t="shared" si="1"/>
        <v>0</v>
      </c>
    </row>
    <row r="26" spans="1:10" ht="15" customHeight="1" x14ac:dyDescent="0.2">
      <c r="A26" s="477" t="str">
        <f>IF('Salary Detail'!P36&gt;0,'Salary Detail'!P36," ")</f>
        <v xml:space="preserve"> </v>
      </c>
      <c r="B26" s="480" t="str">
        <f>IF('Salary Detail'!A36&gt;0,'Salary Detail'!A36," ")</f>
        <v xml:space="preserve"> </v>
      </c>
      <c r="C26" s="480" t="str">
        <f>IF('Salary Detail'!B36&gt;0,'Salary Detail'!B36," ")</f>
        <v xml:space="preserve"> </v>
      </c>
      <c r="D26" s="481" t="str">
        <f>IF('Salary Detail'!C36=0,"",'Salary Detail'!C36)</f>
        <v/>
      </c>
      <c r="E26" s="480" t="str">
        <f>IF('Salary Detail'!D36=0,"",'Salary Detail'!D36)</f>
        <v/>
      </c>
      <c r="F26" s="481" t="str">
        <f>'Salary Detail'!I36</f>
        <v/>
      </c>
      <c r="G26" s="445"/>
      <c r="H26" s="448">
        <f t="shared" si="2"/>
        <v>0</v>
      </c>
      <c r="I26" s="447" t="str">
        <f t="shared" si="0"/>
        <v/>
      </c>
      <c r="J26" s="453">
        <f t="shared" si="1"/>
        <v>0</v>
      </c>
    </row>
    <row r="27" spans="1:10" ht="15" customHeight="1" x14ac:dyDescent="0.2">
      <c r="A27" s="477" t="str">
        <f>IF('Salary Detail'!P37&gt;0,'Salary Detail'!P37," ")</f>
        <v xml:space="preserve"> </v>
      </c>
      <c r="B27" s="480" t="str">
        <f>IF('Salary Detail'!A37&gt;0,'Salary Detail'!A37," ")</f>
        <v xml:space="preserve"> </v>
      </c>
      <c r="C27" s="480" t="str">
        <f>IF('Salary Detail'!B37&gt;0,'Salary Detail'!B37," ")</f>
        <v xml:space="preserve"> </v>
      </c>
      <c r="D27" s="481" t="str">
        <f>IF('Salary Detail'!C37=0,"",'Salary Detail'!C37)</f>
        <v/>
      </c>
      <c r="E27" s="480" t="str">
        <f>IF('Salary Detail'!D37=0,"",'Salary Detail'!D37)</f>
        <v/>
      </c>
      <c r="F27" s="481" t="str">
        <f>'Salary Detail'!I37</f>
        <v/>
      </c>
      <c r="G27" s="445"/>
      <c r="H27" s="448">
        <f t="shared" si="2"/>
        <v>0</v>
      </c>
      <c r="I27" s="447" t="str">
        <f t="shared" si="0"/>
        <v/>
      </c>
      <c r="J27" s="453">
        <f t="shared" si="1"/>
        <v>0</v>
      </c>
    </row>
    <row r="28" spans="1:10" ht="15" customHeight="1" x14ac:dyDescent="0.2">
      <c r="A28" s="477" t="str">
        <f>IF('Salary Detail'!P38&gt;0,'Salary Detail'!P38," ")</f>
        <v xml:space="preserve"> </v>
      </c>
      <c r="B28" s="480" t="str">
        <f>IF('Salary Detail'!A38&gt;0,'Salary Detail'!A38," ")</f>
        <v xml:space="preserve"> </v>
      </c>
      <c r="C28" s="480" t="str">
        <f>IF('Salary Detail'!B38&gt;0,'Salary Detail'!B38," ")</f>
        <v xml:space="preserve"> </v>
      </c>
      <c r="D28" s="481" t="str">
        <f>IF('Salary Detail'!C38=0,"",'Salary Detail'!C38)</f>
        <v/>
      </c>
      <c r="E28" s="480" t="str">
        <f>IF('Salary Detail'!D38=0,"",'Salary Detail'!D38)</f>
        <v/>
      </c>
      <c r="F28" s="481" t="str">
        <f>'Salary Detail'!I38</f>
        <v/>
      </c>
      <c r="G28" s="445"/>
      <c r="H28" s="448">
        <f t="shared" si="2"/>
        <v>0</v>
      </c>
      <c r="I28" s="447" t="str">
        <f t="shared" si="0"/>
        <v/>
      </c>
      <c r="J28" s="453">
        <f t="shared" si="1"/>
        <v>0</v>
      </c>
    </row>
    <row r="29" spans="1:10" ht="15" customHeight="1" x14ac:dyDescent="0.2">
      <c r="A29" s="477" t="str">
        <f>IF('Salary Detail'!P39&gt;0,'Salary Detail'!P39," ")</f>
        <v xml:space="preserve"> </v>
      </c>
      <c r="B29" s="480" t="str">
        <f>IF('Salary Detail'!A39&gt;0,'Salary Detail'!A39," ")</f>
        <v xml:space="preserve"> </v>
      </c>
      <c r="C29" s="480" t="str">
        <f>IF('Salary Detail'!B39&gt;0,'Salary Detail'!B39," ")</f>
        <v xml:space="preserve"> </v>
      </c>
      <c r="D29" s="481" t="str">
        <f>IF('Salary Detail'!C39=0,"",'Salary Detail'!C39)</f>
        <v/>
      </c>
      <c r="E29" s="480" t="str">
        <f>IF('Salary Detail'!D39=0,"",'Salary Detail'!D39)</f>
        <v/>
      </c>
      <c r="F29" s="481" t="str">
        <f>'Salary Detail'!I39</f>
        <v/>
      </c>
      <c r="G29" s="445"/>
      <c r="H29" s="448">
        <f t="shared" si="2"/>
        <v>0</v>
      </c>
      <c r="I29" s="447" t="str">
        <f t="shared" si="0"/>
        <v/>
      </c>
      <c r="J29" s="453">
        <f t="shared" si="1"/>
        <v>0</v>
      </c>
    </row>
    <row r="30" spans="1:10" ht="15" customHeight="1" x14ac:dyDescent="0.2">
      <c r="A30" s="477" t="str">
        <f>IF('Salary Detail'!P40&gt;0,'Salary Detail'!P40," ")</f>
        <v xml:space="preserve"> </v>
      </c>
      <c r="B30" s="480" t="str">
        <f>IF('Salary Detail'!A40&gt;0,'Salary Detail'!A40," ")</f>
        <v xml:space="preserve"> </v>
      </c>
      <c r="C30" s="480" t="str">
        <f>IF('Salary Detail'!B40&gt;0,'Salary Detail'!B40," ")</f>
        <v xml:space="preserve"> </v>
      </c>
      <c r="D30" s="481" t="str">
        <f>IF('Salary Detail'!C40=0,"",'Salary Detail'!C40)</f>
        <v/>
      </c>
      <c r="E30" s="480" t="str">
        <f>IF('Salary Detail'!D40=0,"",'Salary Detail'!D40)</f>
        <v/>
      </c>
      <c r="F30" s="481" t="str">
        <f>'Salary Detail'!I40</f>
        <v/>
      </c>
      <c r="G30" s="445"/>
      <c r="H30" s="448">
        <f t="shared" si="2"/>
        <v>0</v>
      </c>
      <c r="I30" s="447" t="str">
        <f t="shared" si="0"/>
        <v/>
      </c>
      <c r="J30" s="453">
        <f t="shared" si="1"/>
        <v>0</v>
      </c>
    </row>
    <row r="31" spans="1:10" ht="15" customHeight="1" x14ac:dyDescent="0.2">
      <c r="A31" s="477" t="str">
        <f>IF('Salary Detail'!P41&gt;0,'Salary Detail'!P41," ")</f>
        <v xml:space="preserve"> </v>
      </c>
      <c r="B31" s="480" t="str">
        <f>IF('Salary Detail'!A41&gt;0,'Salary Detail'!A41," ")</f>
        <v xml:space="preserve"> </v>
      </c>
      <c r="C31" s="480" t="str">
        <f>IF('Salary Detail'!B41&gt;0,'Salary Detail'!B41," ")</f>
        <v xml:space="preserve"> </v>
      </c>
      <c r="D31" s="481" t="str">
        <f>IF('Salary Detail'!C41=0,"",'Salary Detail'!C41)</f>
        <v/>
      </c>
      <c r="E31" s="480" t="str">
        <f>IF('Salary Detail'!D41=0,"",'Salary Detail'!D41)</f>
        <v/>
      </c>
      <c r="F31" s="481" t="str">
        <f>'Salary Detail'!I41</f>
        <v/>
      </c>
      <c r="G31" s="445"/>
      <c r="H31" s="448">
        <f t="shared" si="2"/>
        <v>0</v>
      </c>
      <c r="I31" s="447" t="str">
        <f t="shared" si="0"/>
        <v/>
      </c>
      <c r="J31" s="453">
        <f t="shared" si="1"/>
        <v>0</v>
      </c>
    </row>
    <row r="32" spans="1:10" ht="15" customHeight="1" x14ac:dyDescent="0.2">
      <c r="A32" s="477" t="str">
        <f>IF('Salary Detail'!P42&gt;0,'Salary Detail'!P42," ")</f>
        <v xml:space="preserve"> </v>
      </c>
      <c r="B32" s="480" t="str">
        <f>IF('Salary Detail'!A42&gt;0,'Salary Detail'!A42," ")</f>
        <v xml:space="preserve"> </v>
      </c>
      <c r="C32" s="480" t="str">
        <f>IF('Salary Detail'!B42&gt;0,'Salary Detail'!B42," ")</f>
        <v xml:space="preserve"> </v>
      </c>
      <c r="D32" s="481" t="str">
        <f>IF('Salary Detail'!C42=0,"",'Salary Detail'!C42)</f>
        <v/>
      </c>
      <c r="E32" s="480" t="str">
        <f>IF('Salary Detail'!D42=0,"",'Salary Detail'!D42)</f>
        <v/>
      </c>
      <c r="F32" s="481" t="str">
        <f>'Salary Detail'!I42</f>
        <v/>
      </c>
      <c r="G32" s="445"/>
      <c r="H32" s="448">
        <f t="shared" si="2"/>
        <v>0</v>
      </c>
      <c r="I32" s="447" t="str">
        <f t="shared" si="0"/>
        <v/>
      </c>
      <c r="J32" s="453">
        <f t="shared" si="1"/>
        <v>0</v>
      </c>
    </row>
    <row r="33" spans="1:10" ht="15" customHeight="1" x14ac:dyDescent="0.2">
      <c r="A33" s="477" t="str">
        <f>IF('Salary Detail'!P43&gt;0,'Salary Detail'!P43," ")</f>
        <v xml:space="preserve"> </v>
      </c>
      <c r="B33" s="480" t="str">
        <f>IF('Salary Detail'!A43&gt;0,'Salary Detail'!A43," ")</f>
        <v xml:space="preserve"> </v>
      </c>
      <c r="C33" s="480" t="str">
        <f>IF('Salary Detail'!B43&gt;0,'Salary Detail'!B43," ")</f>
        <v xml:space="preserve"> </v>
      </c>
      <c r="D33" s="481" t="str">
        <f>IF('Salary Detail'!C43=0,"",'Salary Detail'!C43)</f>
        <v/>
      </c>
      <c r="E33" s="480" t="str">
        <f>IF('Salary Detail'!D43=0,"",'Salary Detail'!D43)</f>
        <v/>
      </c>
      <c r="F33" s="481" t="str">
        <f>'Salary Detail'!I43</f>
        <v/>
      </c>
      <c r="G33" s="445"/>
      <c r="H33" s="448">
        <f t="shared" si="2"/>
        <v>0</v>
      </c>
      <c r="I33" s="447" t="str">
        <f t="shared" si="0"/>
        <v/>
      </c>
      <c r="J33" s="453">
        <f t="shared" si="1"/>
        <v>0</v>
      </c>
    </row>
    <row r="34" spans="1:10" ht="15" customHeight="1" x14ac:dyDescent="0.2">
      <c r="A34" s="477" t="str">
        <f>IF('Salary Detail'!P44&gt;0,'Salary Detail'!P44," ")</f>
        <v xml:space="preserve"> </v>
      </c>
      <c r="B34" s="480" t="str">
        <f>IF('Salary Detail'!A44&gt;0,'Salary Detail'!A44," ")</f>
        <v xml:space="preserve"> </v>
      </c>
      <c r="C34" s="480" t="str">
        <f>IF('Salary Detail'!B44&gt;0,'Salary Detail'!B44," ")</f>
        <v xml:space="preserve"> </v>
      </c>
      <c r="D34" s="481" t="str">
        <f>IF('Salary Detail'!C44=0,"",'Salary Detail'!C44)</f>
        <v/>
      </c>
      <c r="E34" s="480" t="str">
        <f>IF('Salary Detail'!D44=0,"",'Salary Detail'!D44)</f>
        <v/>
      </c>
      <c r="F34" s="481" t="str">
        <f>'Salary Detail'!I44</f>
        <v/>
      </c>
      <c r="G34" s="445"/>
      <c r="H34" s="448">
        <f t="shared" si="2"/>
        <v>0</v>
      </c>
      <c r="I34" s="447" t="str">
        <f t="shared" si="0"/>
        <v/>
      </c>
      <c r="J34" s="453">
        <f t="shared" si="1"/>
        <v>0</v>
      </c>
    </row>
    <row r="35" spans="1:10" ht="15" customHeight="1" x14ac:dyDescent="0.2">
      <c r="A35" s="477" t="str">
        <f>IF('Salary Detail'!P45&gt;0,'Salary Detail'!P45," ")</f>
        <v xml:space="preserve"> </v>
      </c>
      <c r="B35" s="480" t="str">
        <f>IF('Salary Detail'!A45&gt;0,'Salary Detail'!A45," ")</f>
        <v xml:space="preserve"> </v>
      </c>
      <c r="C35" s="480" t="str">
        <f>IF('Salary Detail'!B45&gt;0,'Salary Detail'!B45," ")</f>
        <v xml:space="preserve"> </v>
      </c>
      <c r="D35" s="481" t="str">
        <f>IF('Salary Detail'!C45=0,"",'Salary Detail'!C45)</f>
        <v/>
      </c>
      <c r="E35" s="480" t="str">
        <f>IF('Salary Detail'!D45=0,"",'Salary Detail'!D45)</f>
        <v/>
      </c>
      <c r="F35" s="481" t="str">
        <f>'Salary Detail'!I45</f>
        <v/>
      </c>
      <c r="G35" s="445"/>
      <c r="H35" s="448">
        <f t="shared" si="2"/>
        <v>0</v>
      </c>
      <c r="I35" s="447" t="str">
        <f t="shared" si="0"/>
        <v/>
      </c>
      <c r="J35" s="453">
        <f t="shared" si="1"/>
        <v>0</v>
      </c>
    </row>
    <row r="36" spans="1:10" ht="15" customHeight="1" x14ac:dyDescent="0.2">
      <c r="A36" s="477" t="str">
        <f>IF('Salary Detail'!P46&gt;0,'Salary Detail'!P46," ")</f>
        <v xml:space="preserve"> </v>
      </c>
      <c r="B36" s="480" t="str">
        <f>IF('Salary Detail'!A46&gt;0,'Salary Detail'!A46," ")</f>
        <v xml:space="preserve"> </v>
      </c>
      <c r="C36" s="480" t="str">
        <f>IF('Salary Detail'!B46&gt;0,'Salary Detail'!B46," ")</f>
        <v xml:space="preserve"> </v>
      </c>
      <c r="D36" s="481" t="str">
        <f>IF('Salary Detail'!C46=0,"",'Salary Detail'!C46)</f>
        <v/>
      </c>
      <c r="E36" s="480" t="str">
        <f>IF('Salary Detail'!D46=0,"",'Salary Detail'!D46)</f>
        <v/>
      </c>
      <c r="F36" s="481" t="str">
        <f>'Salary Detail'!I46</f>
        <v/>
      </c>
      <c r="G36" s="445"/>
      <c r="H36" s="448">
        <f t="shared" si="2"/>
        <v>0</v>
      </c>
      <c r="I36" s="447" t="str">
        <f t="shared" si="0"/>
        <v/>
      </c>
      <c r="J36" s="453">
        <f t="shared" si="1"/>
        <v>0</v>
      </c>
    </row>
    <row r="37" spans="1:10" ht="15" customHeight="1" x14ac:dyDescent="0.2">
      <c r="A37" s="477" t="str">
        <f>IF('Salary Detail'!P47&gt;0,'Salary Detail'!P47," ")</f>
        <v xml:space="preserve"> </v>
      </c>
      <c r="B37" s="480" t="str">
        <f>IF('Salary Detail'!A47&gt;0,'Salary Detail'!A47," ")</f>
        <v xml:space="preserve"> </v>
      </c>
      <c r="C37" s="480" t="str">
        <f>IF('Salary Detail'!B47&gt;0,'Salary Detail'!B47," ")</f>
        <v xml:space="preserve"> </v>
      </c>
      <c r="D37" s="481" t="str">
        <f>IF('Salary Detail'!C47=0,"",'Salary Detail'!C47)</f>
        <v/>
      </c>
      <c r="E37" s="480" t="str">
        <f>IF('Salary Detail'!D47=0,"",'Salary Detail'!D47)</f>
        <v/>
      </c>
      <c r="F37" s="481" t="str">
        <f>'Salary Detail'!I47</f>
        <v/>
      </c>
      <c r="G37" s="445"/>
      <c r="H37" s="448">
        <f t="shared" si="2"/>
        <v>0</v>
      </c>
      <c r="I37" s="447" t="str">
        <f t="shared" si="0"/>
        <v/>
      </c>
      <c r="J37" s="453">
        <f t="shared" si="1"/>
        <v>0</v>
      </c>
    </row>
    <row r="38" spans="1:10" ht="15" customHeight="1" x14ac:dyDescent="0.2">
      <c r="A38" s="477" t="str">
        <f>IF('Salary Detail'!P48&gt;0,'Salary Detail'!P48," ")</f>
        <v xml:space="preserve"> </v>
      </c>
      <c r="B38" s="480" t="str">
        <f>IF('Salary Detail'!A48&gt;0,'Salary Detail'!A48," ")</f>
        <v xml:space="preserve"> </v>
      </c>
      <c r="C38" s="480" t="str">
        <f>IF('Salary Detail'!B48&gt;0,'Salary Detail'!B48," ")</f>
        <v xml:space="preserve"> </v>
      </c>
      <c r="D38" s="481" t="str">
        <f>IF('Salary Detail'!C48=0,"",'Salary Detail'!C48)</f>
        <v/>
      </c>
      <c r="E38" s="480" t="str">
        <f>IF('Salary Detail'!D48=0,"",'Salary Detail'!D48)</f>
        <v/>
      </c>
      <c r="F38" s="481" t="str">
        <f>'Salary Detail'!I48</f>
        <v/>
      </c>
      <c r="G38" s="445"/>
      <c r="H38" s="448">
        <f t="shared" si="2"/>
        <v>0</v>
      </c>
      <c r="I38" s="447" t="str">
        <f t="shared" si="0"/>
        <v/>
      </c>
      <c r="J38" s="453">
        <f t="shared" si="1"/>
        <v>0</v>
      </c>
    </row>
    <row r="39" spans="1:10" ht="15" customHeight="1" x14ac:dyDescent="0.2">
      <c r="A39" s="477" t="str">
        <f>IF('Salary Detail'!P49&gt;0,'Salary Detail'!P49," ")</f>
        <v xml:space="preserve"> </v>
      </c>
      <c r="B39" s="480" t="str">
        <f>IF('Salary Detail'!A49&gt;0,'Salary Detail'!A49," ")</f>
        <v xml:space="preserve"> </v>
      </c>
      <c r="C39" s="480" t="str">
        <f>IF('Salary Detail'!B49&gt;0,'Salary Detail'!B49," ")</f>
        <v xml:space="preserve"> </v>
      </c>
      <c r="D39" s="481" t="str">
        <f>IF('Salary Detail'!C49=0,"",'Salary Detail'!C49)</f>
        <v/>
      </c>
      <c r="E39" s="480" t="str">
        <f>IF('Salary Detail'!D49=0,"",'Salary Detail'!D49)</f>
        <v/>
      </c>
      <c r="F39" s="481" t="str">
        <f>'Salary Detail'!I49</f>
        <v/>
      </c>
      <c r="G39" s="445"/>
      <c r="H39" s="448">
        <f t="shared" si="2"/>
        <v>0</v>
      </c>
      <c r="I39" s="447" t="str">
        <f t="shared" si="0"/>
        <v/>
      </c>
      <c r="J39" s="453">
        <f t="shared" si="1"/>
        <v>0</v>
      </c>
    </row>
    <row r="40" spans="1:10" ht="15" customHeight="1" x14ac:dyDescent="0.2">
      <c r="A40" s="477" t="str">
        <f>IF('Salary Detail'!P50&gt;0,'Salary Detail'!P50," ")</f>
        <v xml:space="preserve"> </v>
      </c>
      <c r="B40" s="480" t="str">
        <f>IF('Salary Detail'!A50&gt;0,'Salary Detail'!A50," ")</f>
        <v xml:space="preserve"> </v>
      </c>
      <c r="C40" s="480" t="str">
        <f>IF('Salary Detail'!B50&gt;0,'Salary Detail'!B50," ")</f>
        <v xml:space="preserve"> </v>
      </c>
      <c r="D40" s="481" t="str">
        <f>IF('Salary Detail'!C50=0,"",'Salary Detail'!C50)</f>
        <v/>
      </c>
      <c r="E40" s="480" t="str">
        <f>IF('Salary Detail'!D50=0,"",'Salary Detail'!D50)</f>
        <v/>
      </c>
      <c r="F40" s="481" t="str">
        <f>'Salary Detail'!I50</f>
        <v/>
      </c>
      <c r="G40" s="445"/>
      <c r="H40" s="448">
        <f t="shared" si="2"/>
        <v>0</v>
      </c>
      <c r="I40" s="447" t="str">
        <f t="shared" si="0"/>
        <v/>
      </c>
      <c r="J40" s="453">
        <f t="shared" si="1"/>
        <v>0</v>
      </c>
    </row>
    <row r="41" spans="1:10" ht="15" customHeight="1" x14ac:dyDescent="0.2">
      <c r="A41" s="477" t="str">
        <f>IF('Salary Detail'!P51&gt;0,'Salary Detail'!P51," ")</f>
        <v xml:space="preserve"> </v>
      </c>
      <c r="B41" s="480" t="str">
        <f>IF('Salary Detail'!A51&gt;0,'Salary Detail'!A51," ")</f>
        <v xml:space="preserve"> </v>
      </c>
      <c r="C41" s="480" t="str">
        <f>IF('Salary Detail'!B51&gt;0,'Salary Detail'!B51," ")</f>
        <v xml:space="preserve"> </v>
      </c>
      <c r="D41" s="481" t="str">
        <f>IF('Salary Detail'!C51=0,"",'Salary Detail'!C51)</f>
        <v/>
      </c>
      <c r="E41" s="480" t="str">
        <f>IF('Salary Detail'!D51=0,"",'Salary Detail'!D51)</f>
        <v/>
      </c>
      <c r="F41" s="481" t="str">
        <f>'Salary Detail'!I51</f>
        <v/>
      </c>
      <c r="G41" s="445"/>
      <c r="H41" s="448">
        <f t="shared" si="2"/>
        <v>0</v>
      </c>
      <c r="I41" s="447" t="str">
        <f t="shared" si="0"/>
        <v/>
      </c>
      <c r="J41" s="453">
        <f t="shared" si="1"/>
        <v>0</v>
      </c>
    </row>
    <row r="42" spans="1:10" ht="15" customHeight="1" x14ac:dyDescent="0.2">
      <c r="A42" s="477" t="str">
        <f>IF('Salary Detail'!P52&gt;0,'Salary Detail'!P52," ")</f>
        <v xml:space="preserve"> </v>
      </c>
      <c r="B42" s="480" t="str">
        <f>IF('Salary Detail'!A52&gt;0,'Salary Detail'!A52," ")</f>
        <v xml:space="preserve"> </v>
      </c>
      <c r="C42" s="480" t="str">
        <f>IF('Salary Detail'!B52&gt;0,'Salary Detail'!B52," ")</f>
        <v xml:space="preserve"> </v>
      </c>
      <c r="D42" s="481" t="str">
        <f>IF('Salary Detail'!C52=0,"",'Salary Detail'!C52)</f>
        <v/>
      </c>
      <c r="E42" s="480" t="str">
        <f>IF('Salary Detail'!D52=0,"",'Salary Detail'!D52)</f>
        <v/>
      </c>
      <c r="F42" s="481" t="str">
        <f>'Salary Detail'!I52</f>
        <v/>
      </c>
      <c r="G42" s="445"/>
      <c r="H42" s="448">
        <f t="shared" si="2"/>
        <v>0</v>
      </c>
      <c r="I42" s="447" t="str">
        <f t="shared" si="0"/>
        <v/>
      </c>
      <c r="J42" s="453">
        <f t="shared" si="1"/>
        <v>0</v>
      </c>
    </row>
    <row r="43" spans="1:10" ht="15" customHeight="1" x14ac:dyDescent="0.2">
      <c r="A43" s="477" t="str">
        <f>IF('Salary Detail'!P53&gt;0,'Salary Detail'!P53," ")</f>
        <v xml:space="preserve"> </v>
      </c>
      <c r="B43" s="480" t="str">
        <f>IF('Salary Detail'!A53&gt;0,'Salary Detail'!A53," ")</f>
        <v xml:space="preserve"> </v>
      </c>
      <c r="C43" s="480" t="str">
        <f>IF('Salary Detail'!B53&gt;0,'Salary Detail'!B53," ")</f>
        <v xml:space="preserve"> </v>
      </c>
      <c r="D43" s="481" t="str">
        <f>IF('Salary Detail'!C53=0,"",'Salary Detail'!C53)</f>
        <v/>
      </c>
      <c r="E43" s="480" t="str">
        <f>IF('Salary Detail'!D53=0,"",'Salary Detail'!D53)</f>
        <v/>
      </c>
      <c r="F43" s="481" t="str">
        <f>'Salary Detail'!I53</f>
        <v/>
      </c>
      <c r="G43" s="445"/>
      <c r="H43" s="448">
        <f t="shared" si="2"/>
        <v>0</v>
      </c>
      <c r="I43" s="447" t="str">
        <f t="shared" si="0"/>
        <v/>
      </c>
      <c r="J43" s="453">
        <f t="shared" si="1"/>
        <v>0</v>
      </c>
    </row>
    <row r="44" spans="1:10" ht="15" customHeight="1" x14ac:dyDescent="0.2">
      <c r="A44" s="477" t="str">
        <f>IF('Salary Detail'!P54&gt;0,'Salary Detail'!P54," ")</f>
        <v xml:space="preserve"> </v>
      </c>
      <c r="B44" s="480" t="str">
        <f>IF('Salary Detail'!A54&gt;0,'Salary Detail'!A54," ")</f>
        <v xml:space="preserve"> </v>
      </c>
      <c r="C44" s="480" t="str">
        <f>IF('Salary Detail'!B54&gt;0,'Salary Detail'!B54," ")</f>
        <v xml:space="preserve"> </v>
      </c>
      <c r="D44" s="481" t="str">
        <f>IF('Salary Detail'!C54=0,"",'Salary Detail'!C54)</f>
        <v/>
      </c>
      <c r="E44" s="480" t="str">
        <f>IF('Salary Detail'!D54=0,"",'Salary Detail'!D54)</f>
        <v/>
      </c>
      <c r="F44" s="481" t="str">
        <f>'Salary Detail'!I54</f>
        <v/>
      </c>
      <c r="G44" s="445"/>
      <c r="H44" s="448">
        <f t="shared" si="2"/>
        <v>0</v>
      </c>
      <c r="I44" s="447" t="str">
        <f t="shared" si="0"/>
        <v/>
      </c>
      <c r="J44" s="453">
        <f t="shared" si="1"/>
        <v>0</v>
      </c>
    </row>
    <row r="45" spans="1:10" ht="15" customHeight="1" x14ac:dyDescent="0.2">
      <c r="A45" s="477" t="str">
        <f>IF('Salary Detail'!P55&gt;0,'Salary Detail'!P55," ")</f>
        <v xml:space="preserve"> </v>
      </c>
      <c r="B45" s="480" t="str">
        <f>IF('Salary Detail'!A55&gt;0,'Salary Detail'!A55," ")</f>
        <v xml:space="preserve"> </v>
      </c>
      <c r="C45" s="480" t="str">
        <f>IF('Salary Detail'!B55&gt;0,'Salary Detail'!B55," ")</f>
        <v xml:space="preserve"> </v>
      </c>
      <c r="D45" s="481" t="str">
        <f>IF('Salary Detail'!C55=0,"",'Salary Detail'!C55)</f>
        <v/>
      </c>
      <c r="E45" s="480" t="str">
        <f>IF('Salary Detail'!D55=0,"",'Salary Detail'!D55)</f>
        <v/>
      </c>
      <c r="F45" s="481" t="str">
        <f>'Salary Detail'!I55</f>
        <v/>
      </c>
      <c r="G45" s="445"/>
      <c r="H45" s="448">
        <f t="shared" si="2"/>
        <v>0</v>
      </c>
      <c r="I45" s="447" t="str">
        <f t="shared" si="0"/>
        <v/>
      </c>
      <c r="J45" s="453">
        <f t="shared" si="1"/>
        <v>0</v>
      </c>
    </row>
    <row r="46" spans="1:10" ht="15" customHeight="1" x14ac:dyDescent="0.2">
      <c r="A46" s="477" t="str">
        <f>IF('Salary Detail'!P56&gt;0,'Salary Detail'!P56," ")</f>
        <v xml:space="preserve"> </v>
      </c>
      <c r="B46" s="480" t="str">
        <f>IF('Salary Detail'!A56&gt;0,'Salary Detail'!A56," ")</f>
        <v xml:space="preserve"> </v>
      </c>
      <c r="C46" s="480" t="str">
        <f>IF('Salary Detail'!B56&gt;0,'Salary Detail'!B56," ")</f>
        <v xml:space="preserve"> </v>
      </c>
      <c r="D46" s="481" t="str">
        <f>IF('Salary Detail'!C56=0,"",'Salary Detail'!C56)</f>
        <v/>
      </c>
      <c r="E46" s="480" t="str">
        <f>IF('Salary Detail'!D56=0,"",'Salary Detail'!D56)</f>
        <v/>
      </c>
      <c r="F46" s="481" t="str">
        <f>'Salary Detail'!I56</f>
        <v/>
      </c>
      <c r="G46" s="445"/>
      <c r="H46" s="448">
        <f t="shared" si="2"/>
        <v>0</v>
      </c>
      <c r="I46" s="447" t="str">
        <f t="shared" si="0"/>
        <v/>
      </c>
      <c r="J46" s="453">
        <f t="shared" si="1"/>
        <v>0</v>
      </c>
    </row>
    <row r="47" spans="1:10" ht="15" customHeight="1" x14ac:dyDescent="0.2">
      <c r="A47" s="477" t="str">
        <f>IF('Salary Detail'!P57&gt;0,'Salary Detail'!P57," ")</f>
        <v xml:space="preserve"> </v>
      </c>
      <c r="B47" s="480" t="str">
        <f>IF('Salary Detail'!A57&gt;0,'Salary Detail'!A57," ")</f>
        <v xml:space="preserve"> </v>
      </c>
      <c r="C47" s="480" t="str">
        <f>IF('Salary Detail'!B57&gt;0,'Salary Detail'!B57," ")</f>
        <v xml:space="preserve"> </v>
      </c>
      <c r="D47" s="481" t="str">
        <f>IF('Salary Detail'!C57=0,"",'Salary Detail'!C57)</f>
        <v/>
      </c>
      <c r="E47" s="480" t="str">
        <f>IF('Salary Detail'!D57=0,"",'Salary Detail'!D57)</f>
        <v/>
      </c>
      <c r="F47" s="481" t="str">
        <f>'Salary Detail'!I57</f>
        <v/>
      </c>
      <c r="G47" s="445"/>
      <c r="H47" s="448">
        <f t="shared" si="2"/>
        <v>0</v>
      </c>
      <c r="I47" s="447" t="str">
        <f t="shared" si="0"/>
        <v/>
      </c>
      <c r="J47" s="453">
        <f t="shared" si="1"/>
        <v>0</v>
      </c>
    </row>
    <row r="48" spans="1:10" ht="15" customHeight="1" x14ac:dyDescent="0.2">
      <c r="A48" s="477" t="str">
        <f>IF('Salary Detail'!P58&gt;0,'Salary Detail'!P58," ")</f>
        <v xml:space="preserve"> </v>
      </c>
      <c r="B48" s="480" t="str">
        <f>IF('Salary Detail'!A58&gt;0,'Salary Detail'!A58," ")</f>
        <v xml:space="preserve"> </v>
      </c>
      <c r="C48" s="480" t="str">
        <f>IF('Salary Detail'!B58&gt;0,'Salary Detail'!B58," ")</f>
        <v xml:space="preserve"> </v>
      </c>
      <c r="D48" s="481" t="str">
        <f>IF('Salary Detail'!C58=0,"",'Salary Detail'!C58)</f>
        <v/>
      </c>
      <c r="E48" s="480" t="str">
        <f>IF('Salary Detail'!D58=0,"",'Salary Detail'!D58)</f>
        <v/>
      </c>
      <c r="F48" s="481" t="str">
        <f>'Salary Detail'!I58</f>
        <v/>
      </c>
      <c r="G48" s="445"/>
      <c r="H48" s="448">
        <f t="shared" si="2"/>
        <v>0</v>
      </c>
      <c r="I48" s="447" t="str">
        <f t="shared" si="0"/>
        <v/>
      </c>
      <c r="J48" s="453">
        <f t="shared" si="1"/>
        <v>0</v>
      </c>
    </row>
    <row r="49" spans="1:10" ht="15" customHeight="1" x14ac:dyDescent="0.2">
      <c r="A49" s="477" t="str">
        <f>IF('Salary Detail'!P59&gt;0,'Salary Detail'!P59," ")</f>
        <v xml:space="preserve"> </v>
      </c>
      <c r="B49" s="480" t="str">
        <f>IF('Salary Detail'!A59&gt;0,'Salary Detail'!A59," ")</f>
        <v xml:space="preserve"> </v>
      </c>
      <c r="C49" s="480" t="str">
        <f>IF('Salary Detail'!B59&gt;0,'Salary Detail'!B59," ")</f>
        <v xml:space="preserve"> </v>
      </c>
      <c r="D49" s="481" t="str">
        <f>IF('Salary Detail'!C59=0,"",'Salary Detail'!C59)</f>
        <v/>
      </c>
      <c r="E49" s="480" t="str">
        <f>IF('Salary Detail'!D59=0,"",'Salary Detail'!D59)</f>
        <v/>
      </c>
      <c r="F49" s="481" t="str">
        <f>'Salary Detail'!I59</f>
        <v/>
      </c>
      <c r="G49" s="445"/>
      <c r="H49" s="448">
        <f t="shared" si="2"/>
        <v>0</v>
      </c>
      <c r="I49" s="447" t="str">
        <f t="shared" si="0"/>
        <v/>
      </c>
      <c r="J49" s="453">
        <f t="shared" si="1"/>
        <v>0</v>
      </c>
    </row>
    <row r="50" spans="1:10" ht="15" customHeight="1" x14ac:dyDescent="0.2">
      <c r="A50" s="477" t="str">
        <f>IF('Salary Detail'!P60&gt;0,'Salary Detail'!P60," ")</f>
        <v xml:space="preserve"> </v>
      </c>
      <c r="B50" s="480" t="str">
        <f>IF('Salary Detail'!A60&gt;0,'Salary Detail'!A60," ")</f>
        <v xml:space="preserve"> </v>
      </c>
      <c r="C50" s="480" t="str">
        <f>IF('Salary Detail'!B60&gt;0,'Salary Detail'!B60," ")</f>
        <v xml:space="preserve"> </v>
      </c>
      <c r="D50" s="481" t="str">
        <f>IF('Salary Detail'!C60=0,"",'Salary Detail'!C60)</f>
        <v/>
      </c>
      <c r="E50" s="480" t="str">
        <f>IF('Salary Detail'!D60=0,"",'Salary Detail'!D60)</f>
        <v/>
      </c>
      <c r="F50" s="481" t="str">
        <f>'Salary Detail'!I60</f>
        <v/>
      </c>
      <c r="G50" s="445"/>
      <c r="H50" s="448">
        <f t="shared" si="2"/>
        <v>0</v>
      </c>
      <c r="I50" s="447" t="str">
        <f t="shared" si="0"/>
        <v/>
      </c>
      <c r="J50" s="453">
        <f t="shared" si="1"/>
        <v>0</v>
      </c>
    </row>
    <row r="51" spans="1:10" ht="15" customHeight="1" x14ac:dyDescent="0.2">
      <c r="A51" s="477" t="str">
        <f>IF('Salary Detail'!P61&gt;0,'Salary Detail'!P61," ")</f>
        <v xml:space="preserve"> </v>
      </c>
      <c r="B51" s="480" t="str">
        <f>IF('Salary Detail'!A61&gt;0,'Salary Detail'!A61," ")</f>
        <v xml:space="preserve"> </v>
      </c>
      <c r="C51" s="480" t="str">
        <f>IF('Salary Detail'!B61&gt;0,'Salary Detail'!B61," ")</f>
        <v xml:space="preserve"> </v>
      </c>
      <c r="D51" s="481" t="str">
        <f>IF('Salary Detail'!C61=0,"",'Salary Detail'!C61)</f>
        <v/>
      </c>
      <c r="E51" s="480" t="str">
        <f>IF('Salary Detail'!D61=0,"",'Salary Detail'!D61)</f>
        <v/>
      </c>
      <c r="F51" s="481" t="str">
        <f>'Salary Detail'!I61</f>
        <v/>
      </c>
      <c r="G51" s="445"/>
      <c r="H51" s="448">
        <f t="shared" si="2"/>
        <v>0</v>
      </c>
      <c r="I51" s="447" t="str">
        <f t="shared" si="0"/>
        <v/>
      </c>
      <c r="J51" s="453">
        <f t="shared" si="1"/>
        <v>0</v>
      </c>
    </row>
    <row r="52" spans="1:10" ht="15" customHeight="1" x14ac:dyDescent="0.2">
      <c r="A52" s="477" t="str">
        <f>IF('Salary Detail'!P62&gt;0,'Salary Detail'!P62," ")</f>
        <v xml:space="preserve"> </v>
      </c>
      <c r="B52" s="480" t="str">
        <f>IF('Salary Detail'!A62&gt;0,'Salary Detail'!A62," ")</f>
        <v xml:space="preserve"> </v>
      </c>
      <c r="C52" s="480" t="str">
        <f>IF('Salary Detail'!B62&gt;0,'Salary Detail'!B62," ")</f>
        <v xml:space="preserve"> </v>
      </c>
      <c r="D52" s="481" t="str">
        <f>IF('Salary Detail'!C62=0,"",'Salary Detail'!C62)</f>
        <v/>
      </c>
      <c r="E52" s="480" t="str">
        <f>IF('Salary Detail'!D62=0,"",'Salary Detail'!D62)</f>
        <v/>
      </c>
      <c r="F52" s="481" t="str">
        <f>'Salary Detail'!I62</f>
        <v/>
      </c>
      <c r="G52" s="445"/>
      <c r="H52" s="448">
        <f t="shared" si="2"/>
        <v>0</v>
      </c>
      <c r="I52" s="447" t="str">
        <f t="shared" si="0"/>
        <v/>
      </c>
      <c r="J52" s="453">
        <f t="shared" si="1"/>
        <v>0</v>
      </c>
    </row>
    <row r="53" spans="1:10" ht="15" customHeight="1" x14ac:dyDescent="0.2">
      <c r="A53" s="477" t="str">
        <f>IF('Salary Detail'!P63&gt;0,'Salary Detail'!P63," ")</f>
        <v xml:space="preserve"> </v>
      </c>
      <c r="B53" s="483" t="str">
        <f>IF('Salary Detail'!A63&gt;0,'Salary Detail'!A63," ")</f>
        <v xml:space="preserve"> </v>
      </c>
      <c r="C53" s="484" t="str">
        <f>IF('Salary Detail'!B63&gt;0,'Salary Detail'!B63," ")</f>
        <v xml:space="preserve"> </v>
      </c>
      <c r="D53" s="485" t="str">
        <f>IF('Salary Detail'!C63=0,"",'Salary Detail'!C63)</f>
        <v/>
      </c>
      <c r="E53" s="484" t="str">
        <f>IF('Salary Detail'!D63=0,"",'Salary Detail'!D63)</f>
        <v/>
      </c>
      <c r="F53" s="485" t="str">
        <f>'Salary Detail'!I63</f>
        <v/>
      </c>
      <c r="G53" s="446"/>
      <c r="H53" s="448">
        <f t="shared" si="2"/>
        <v>0</v>
      </c>
      <c r="I53" s="647" t="str">
        <f t="shared" si="0"/>
        <v/>
      </c>
      <c r="J53" s="453">
        <f t="shared" si="1"/>
        <v>0</v>
      </c>
    </row>
    <row r="54" spans="1:10" ht="15" customHeight="1" x14ac:dyDescent="0.2">
      <c r="B54" s="970" t="s">
        <v>314</v>
      </c>
      <c r="C54" s="970"/>
      <c r="D54" s="970"/>
      <c r="E54" s="970"/>
      <c r="F54" s="970"/>
      <c r="G54" s="970"/>
      <c r="H54" s="457"/>
      <c r="I54" s="458">
        <f>SUM(I14:I53)</f>
        <v>0</v>
      </c>
    </row>
    <row r="55" spans="1:10" ht="15" customHeight="1" x14ac:dyDescent="0.2">
      <c r="B55" s="358" t="str">
        <f>IF('Salary Detail'!A65&gt;0,'Salary Detail'!A65," ")</f>
        <v xml:space="preserve"> </v>
      </c>
    </row>
    <row r="56" spans="1:10" ht="15" customHeight="1" x14ac:dyDescent="0.2">
      <c r="B56" s="358" t="str">
        <f>IF('Salary Detail'!A66&gt;0,'Salary Detail'!A66," ")</f>
        <v xml:space="preserve"> </v>
      </c>
    </row>
    <row r="57" spans="1:10" ht="15" customHeight="1" x14ac:dyDescent="0.2">
      <c r="B57" s="358" t="str">
        <f>IF('Salary Detail'!A67&gt;0,'Salary Detail'!A67," ")</f>
        <v xml:space="preserve"> </v>
      </c>
    </row>
    <row r="58" spans="1:10" ht="15" customHeight="1" x14ac:dyDescent="0.2">
      <c r="B58" s="358"/>
    </row>
    <row r="59" spans="1:10" ht="15" customHeight="1" x14ac:dyDescent="0.2">
      <c r="B59" s="358"/>
    </row>
    <row r="60" spans="1:10" ht="15" customHeight="1" x14ac:dyDescent="0.2">
      <c r="B60" s="358" t="str">
        <f>IF('Salary Detail'!A70&gt;0,'Salary Detail'!A70," ")</f>
        <v xml:space="preserve"> </v>
      </c>
    </row>
    <row r="61" spans="1:10" ht="15" customHeight="1" x14ac:dyDescent="0.2">
      <c r="B61" s="358" t="str">
        <f>IF('Salary Detail'!A71&gt;0,'Salary Detail'!A71," ")</f>
        <v xml:space="preserve"> </v>
      </c>
    </row>
    <row r="62" spans="1:10" ht="15" customHeight="1" x14ac:dyDescent="0.2">
      <c r="B62" s="358" t="str">
        <f>IF('Salary Detail'!A72&gt;0,'Salary Detail'!A72," ")</f>
        <v xml:space="preserve"> </v>
      </c>
    </row>
    <row r="63" spans="1:10" ht="15" customHeight="1" x14ac:dyDescent="0.2">
      <c r="B63" s="358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AnqgBiWCq3IU6sxJIiQWuXrvvhk1UBEgLV9eWbNfogTwlFy/uaVO9N93X/GFswDZw+TNMQwugUdXhq+pRkxjLQ==" saltValue="0knp1Dw2BrxnA+hf/uDrtA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71" t="s">
        <v>229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</row>
    <row r="2" spans="1:13" x14ac:dyDescent="0.2">
      <c r="A2" s="972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</row>
    <row r="3" spans="1:13" ht="12.95" customHeight="1" x14ac:dyDescent="0.2">
      <c r="A3" s="382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31" t="str">
        <f>'Salary Detail'!A3</f>
        <v xml:space="preserve">  NON FEDERAL/ NON Standard F&amp;A Revised 3/18/2022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77" t="s">
        <v>138</v>
      </c>
      <c r="F6" s="973" t="str">
        <f>IF('Salary Detail'!E5=0,"",'Salary Detail'!E5)</f>
        <v/>
      </c>
      <c r="G6" s="920"/>
      <c r="H6" s="920"/>
      <c r="I6" s="920"/>
      <c r="J6" s="159"/>
      <c r="K6" s="159"/>
      <c r="L6" s="159"/>
    </row>
    <row r="7" spans="1:13" ht="12.95" customHeight="1" x14ac:dyDescent="0.2">
      <c r="E7" s="77" t="s">
        <v>8</v>
      </c>
      <c r="F7" s="973" t="str">
        <f>IF('Salary Detail'!E6=0,"",'Salary Detail'!E6)</f>
        <v/>
      </c>
      <c r="G7" s="920"/>
      <c r="H7" s="920"/>
      <c r="I7" s="920"/>
      <c r="J7" s="159"/>
      <c r="K7" s="159"/>
      <c r="L7" s="159"/>
      <c r="M7" s="78"/>
    </row>
    <row r="8" spans="1:13" ht="12.95" customHeight="1" x14ac:dyDescent="0.2">
      <c r="E8" s="77" t="s">
        <v>122</v>
      </c>
      <c r="F8" s="973" t="str">
        <f>IF('Salary Detail'!E7=0,"",'Salary Detail'!E7)</f>
        <v/>
      </c>
      <c r="G8" s="920"/>
      <c r="H8" s="920"/>
      <c r="I8" s="920"/>
      <c r="J8" s="147"/>
      <c r="K8" s="147"/>
      <c r="L8" s="147"/>
      <c r="M8" s="78"/>
    </row>
    <row r="9" spans="1:13" ht="12.95" customHeight="1" x14ac:dyDescent="0.2">
      <c r="E9" s="77" t="s">
        <v>10</v>
      </c>
      <c r="F9" s="973" t="str">
        <f>IF('Salary Detail'!E8=0,"",'Salary Detail'!E8)</f>
        <v/>
      </c>
      <c r="G9" s="920"/>
      <c r="H9" s="920"/>
      <c r="I9" s="920"/>
      <c r="J9" s="147"/>
      <c r="K9" s="147"/>
      <c r="L9" s="147"/>
    </row>
    <row r="10" spans="1:13" ht="12.95" customHeight="1" x14ac:dyDescent="0.2">
      <c r="A10" s="77"/>
      <c r="B10" s="62"/>
      <c r="C10" s="62"/>
      <c r="D10" s="62"/>
      <c r="G10" s="77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0" t="s">
        <v>222</v>
      </c>
      <c r="B12" s="50" t="s">
        <v>67</v>
      </c>
      <c r="C12" s="56" t="s">
        <v>270</v>
      </c>
      <c r="D12" s="56" t="s">
        <v>271</v>
      </c>
      <c r="E12" s="56" t="s">
        <v>269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249</v>
      </c>
      <c r="L12" s="56" t="s">
        <v>23</v>
      </c>
      <c r="M12" s="50" t="s">
        <v>46</v>
      </c>
    </row>
    <row r="13" spans="1:13" ht="12.95" customHeight="1" x14ac:dyDescent="0.2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2.95" customHeight="1" x14ac:dyDescent="0.2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2.95" customHeight="1" x14ac:dyDescent="0.2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2.95" customHeight="1" x14ac:dyDescent="0.2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2.95" customHeight="1" x14ac:dyDescent="0.2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2.95" customHeight="1" x14ac:dyDescent="0.2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2.95" customHeight="1" x14ac:dyDescent="0.2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2.95" customHeight="1" x14ac:dyDescent="0.2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2.95" customHeight="1" x14ac:dyDescent="0.2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2.95" customHeight="1" x14ac:dyDescent="0.2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2.95" customHeight="1" x14ac:dyDescent="0.2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2.95" customHeight="1" x14ac:dyDescent="0.2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2.95" customHeight="1" x14ac:dyDescent="0.2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2.95" customHeight="1" x14ac:dyDescent="0.2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2.95" customHeight="1" x14ac:dyDescent="0.2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2.95" customHeight="1" x14ac:dyDescent="0.2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2.95" customHeight="1" x14ac:dyDescent="0.2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2.95" customHeight="1" x14ac:dyDescent="0.2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2.95" customHeight="1" x14ac:dyDescent="0.2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2.95" customHeight="1" x14ac:dyDescent="0.2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2.95" customHeight="1" x14ac:dyDescent="0.2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2.95" customHeight="1" x14ac:dyDescent="0.2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2.95" customHeight="1" x14ac:dyDescent="0.2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2.95" customHeight="1" x14ac:dyDescent="0.2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2.95" customHeight="1" x14ac:dyDescent="0.2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2.95" customHeight="1" x14ac:dyDescent="0.2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2.95" customHeight="1" x14ac:dyDescent="0.2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2.95" customHeight="1" x14ac:dyDescent="0.2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2.95" customHeight="1" x14ac:dyDescent="0.2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2.95" customHeight="1" x14ac:dyDescent="0.2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2.95" customHeight="1" x14ac:dyDescent="0.2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2.95" customHeight="1" x14ac:dyDescent="0.2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2.95" customHeight="1" x14ac:dyDescent="0.2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2.95" customHeight="1" x14ac:dyDescent="0.2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2.95" customHeight="1" x14ac:dyDescent="0.2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2.95" customHeight="1" x14ac:dyDescent="0.2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2.95" customHeight="1" x14ac:dyDescent="0.2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2.95" customHeight="1" x14ac:dyDescent="0.2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2.95" customHeight="1" x14ac:dyDescent="0.2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2.95" customHeight="1" thickBot="1" x14ac:dyDescent="0.25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2.95" customHeight="1" x14ac:dyDescent="0.2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80"/>
      <c r="M53" s="73" t="str">
        <f>IF(SUM(M13:M52)=0,"",SUM(M13:M52))</f>
        <v/>
      </c>
    </row>
    <row r="54" spans="1:13" ht="12.95" customHeight="1" x14ac:dyDescent="0.2">
      <c r="A54" s="57" t="s">
        <v>254</v>
      </c>
      <c r="B54" s="94">
        <f>Year1Weight*VLOOKUP("F",FringeTable,2,FALSE)+Year2Weight*VLOOKUP("F",FringeTable,3,FALSE)+Year3Weight*VLOOKUP("F",FringeTable,4,FALSE)</f>
        <v>0.28999999999999998</v>
      </c>
      <c r="C54" s="94">
        <f>Year1Weight*VLOOKUP("A",FringeTable,2,FALSE)+Year2Weight*VLOOKUP("A",FringeTable,3,FALSE)+Year3Weight*VLOOKUP("A",FringeTable,4,FALSE)</f>
        <v>0.35</v>
      </c>
      <c r="D54" s="94">
        <f>Year1Weight*VLOOKUP("A",FringeTable,2,FALSE)+Year2Weight*VLOOKUP("A",FringeTable,3,FALSE)+Year3Weight*VLOOKUP("A",FringeTable,4,FALSE)</f>
        <v>0.35</v>
      </c>
      <c r="E54" s="94">
        <f>Year1Weight*VLOOKUP("A",FringeTable,2,FALSE)+Year2Weight*VLOOKUP("A",FringeTable,3,FALSE)+Year3Weight*VLOOKUP("A",FringeTable,4,FALSE)</f>
        <v>0.35</v>
      </c>
      <c r="F54" s="94">
        <f>VLOOKUP("t",[0]!fringes,2,FALSE)</f>
        <v>0.22</v>
      </c>
      <c r="G54" s="94">
        <f>Year1Weight*VLOOKUP("P",FringeTable,2,FALSE)+Year2Weight*VLOOKUP("P",FringeTable,3,FALSE)+Year3Weight*VLOOKUP("P",FringeTable,4,FALSE)</f>
        <v>0.24</v>
      </c>
      <c r="H54" s="94">
        <f>VLOOKUP("r",[0]!fringes,2,FALSE)</f>
        <v>0.08</v>
      </c>
      <c r="I54" s="94">
        <f>VLOOKUP("s",[0]!fringes,2,FALSE)</f>
        <v>0.01</v>
      </c>
      <c r="J54" s="94">
        <f>VLOOKUP("w",[0]!fringes,2,FALSE)</f>
        <v>0.01</v>
      </c>
      <c r="K54" s="374" t="s">
        <v>257</v>
      </c>
      <c r="L54" s="51" t="str">
        <f>IF(SUM(B53:K53)=0,"",SUM(B53:K53))</f>
        <v/>
      </c>
      <c r="M54" s="377" t="s">
        <v>22</v>
      </c>
    </row>
    <row r="55" spans="1:13" ht="12.95" customHeight="1" x14ac:dyDescent="0.2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81" t="str">
        <f>IF(SUM(B55:K55)=0,"",SUM(B55:K55))</f>
        <v/>
      </c>
      <c r="M55" s="378" t="s">
        <v>81</v>
      </c>
    </row>
    <row r="56" spans="1:13" ht="12.95" customHeight="1" thickBot="1" x14ac:dyDescent="0.2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76" t="str">
        <f>IF(SUM(B56:K56)=0,"",SUM(B56:K56))</f>
        <v/>
      </c>
      <c r="M56" s="379" t="s">
        <v>259</v>
      </c>
    </row>
    <row r="57" spans="1:13" ht="12.95" customHeight="1" x14ac:dyDescent="0.2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9" customFormat="1" ht="12.95" customHeight="1" x14ac:dyDescent="0.2">
      <c r="A58" s="387"/>
      <c r="B58" s="72"/>
      <c r="C58" s="72"/>
      <c r="D58" s="72"/>
      <c r="E58" s="72"/>
      <c r="F58" s="72"/>
      <c r="G58" s="388"/>
      <c r="H58" s="72"/>
      <c r="I58" s="72"/>
      <c r="J58" s="72"/>
      <c r="K58" s="72"/>
      <c r="L58" s="72"/>
    </row>
    <row r="59" spans="1:13" s="389" customFormat="1" ht="12.95" customHeight="1" x14ac:dyDescent="0.2">
      <c r="A59" s="976" t="s">
        <v>274</v>
      </c>
      <c r="B59" s="975"/>
      <c r="C59" s="975"/>
      <c r="D59" s="975"/>
      <c r="E59" s="975"/>
      <c r="F59" s="975"/>
      <c r="G59" s="975"/>
      <c r="H59" s="975"/>
      <c r="I59" s="975"/>
      <c r="J59" s="975"/>
      <c r="K59" s="975"/>
      <c r="L59" s="975"/>
      <c r="M59" s="975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77" t="s">
        <v>138</v>
      </c>
      <c r="F62" s="973" t="str">
        <f>IF('Salary Detail'!E5=0,"",'Salary Detail'!E5)</f>
        <v/>
      </c>
      <c r="G62" s="920"/>
      <c r="H62" s="920"/>
      <c r="I62" s="920"/>
      <c r="J62" s="159"/>
      <c r="K62" s="159"/>
      <c r="L62" s="159"/>
    </row>
    <row r="63" spans="1:13" ht="12.95" customHeight="1" x14ac:dyDescent="0.2">
      <c r="E63" s="77" t="s">
        <v>8</v>
      </c>
      <c r="F63" s="973" t="str">
        <f>IF('Salary Detail'!E6=0,"",'Salary Detail'!E6)</f>
        <v/>
      </c>
      <c r="G63" s="920"/>
      <c r="H63" s="920"/>
      <c r="I63" s="920"/>
      <c r="J63" s="159"/>
      <c r="K63" s="159"/>
      <c r="L63" s="159"/>
      <c r="M63" s="78"/>
    </row>
    <row r="64" spans="1:13" ht="12.95" customHeight="1" x14ac:dyDescent="0.2">
      <c r="E64" s="77" t="s">
        <v>122</v>
      </c>
      <c r="F64" s="973" t="str">
        <f>IF('Salary Detail'!E7=0,"",'Salary Detail'!E7)</f>
        <v/>
      </c>
      <c r="G64" s="920"/>
      <c r="H64" s="920"/>
      <c r="I64" s="920"/>
      <c r="J64" s="147"/>
      <c r="K64" s="147"/>
      <c r="L64" s="147"/>
      <c r="M64" s="78"/>
    </row>
    <row r="65" spans="1:13" ht="12.95" customHeight="1" x14ac:dyDescent="0.2">
      <c r="E65" s="77" t="s">
        <v>10</v>
      </c>
      <c r="F65" s="973" t="str">
        <f>IF('Salary Detail'!E8=0,"",'Salary Detail'!E8)</f>
        <v/>
      </c>
      <c r="G65" s="920"/>
      <c r="H65" s="920"/>
      <c r="I65" s="920"/>
      <c r="J65" s="147"/>
      <c r="K65" s="147"/>
      <c r="L65" s="147"/>
    </row>
    <row r="66" spans="1:13" ht="12.95" customHeight="1" x14ac:dyDescent="0.2">
      <c r="A66" s="77"/>
      <c r="B66" s="62"/>
      <c r="C66" s="62"/>
      <c r="D66" s="62"/>
      <c r="G66" s="77"/>
      <c r="H66" s="7"/>
    </row>
    <row r="67" spans="1:13" ht="12.95" customHeight="1" x14ac:dyDescent="0.2">
      <c r="A67" s="386" t="s">
        <v>273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49"/>
      <c r="B68" s="50" t="s">
        <v>67</v>
      </c>
      <c r="C68" s="56" t="s">
        <v>270</v>
      </c>
      <c r="D68" s="56" t="s">
        <v>271</v>
      </c>
      <c r="E68" s="56" t="s">
        <v>269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249</v>
      </c>
      <c r="L68" s="56" t="s">
        <v>23</v>
      </c>
      <c r="M68" s="50" t="s">
        <v>46</v>
      </c>
    </row>
    <row r="69" spans="1:13" ht="12.95" customHeight="1" x14ac:dyDescent="0.2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2.95" customHeight="1" x14ac:dyDescent="0.2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2.95" customHeight="1" x14ac:dyDescent="0.2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2.95" customHeight="1" x14ac:dyDescent="0.2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2.95" customHeight="1" x14ac:dyDescent="0.2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2.95" customHeight="1" x14ac:dyDescent="0.2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2.95" customHeight="1" x14ac:dyDescent="0.2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2.95" customHeight="1" x14ac:dyDescent="0.2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2.95" customHeight="1" x14ac:dyDescent="0.2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2.95" customHeight="1" x14ac:dyDescent="0.2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2.95" customHeight="1" x14ac:dyDescent="0.2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2.95" customHeight="1" x14ac:dyDescent="0.2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2.95" customHeight="1" x14ac:dyDescent="0.2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2.95" customHeight="1" x14ac:dyDescent="0.2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2.95" customHeight="1" x14ac:dyDescent="0.2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2.95" customHeight="1" x14ac:dyDescent="0.2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2.95" customHeight="1" x14ac:dyDescent="0.2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2.95" customHeight="1" x14ac:dyDescent="0.2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2.95" customHeight="1" x14ac:dyDescent="0.2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2.95" customHeight="1" x14ac:dyDescent="0.2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2.95" customHeight="1" x14ac:dyDescent="0.2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2.95" customHeight="1" x14ac:dyDescent="0.2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2.95" customHeight="1" x14ac:dyDescent="0.2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2.95" customHeight="1" x14ac:dyDescent="0.2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2.95" customHeight="1" x14ac:dyDescent="0.2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2.95" customHeight="1" x14ac:dyDescent="0.2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2.95" customHeight="1" x14ac:dyDescent="0.2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2.95" customHeight="1" x14ac:dyDescent="0.2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2.95" customHeight="1" x14ac:dyDescent="0.2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2.95" customHeight="1" x14ac:dyDescent="0.2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2.95" customHeight="1" x14ac:dyDescent="0.2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2.95" customHeight="1" x14ac:dyDescent="0.2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2.95" customHeight="1" x14ac:dyDescent="0.2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2.95" customHeight="1" x14ac:dyDescent="0.2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2.95" customHeight="1" x14ac:dyDescent="0.2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2.95" customHeight="1" x14ac:dyDescent="0.2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2.95" customHeight="1" x14ac:dyDescent="0.2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2.95" customHeight="1" x14ac:dyDescent="0.2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2.95" customHeight="1" x14ac:dyDescent="0.2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2.95" customHeight="1" thickBot="1" x14ac:dyDescent="0.25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2.95" customHeight="1" x14ac:dyDescent="0.2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80"/>
      <c r="M109" s="73" t="str">
        <f>IF(SUM(M69:M108)=0,"",SUM(M69:M108))</f>
        <v/>
      </c>
    </row>
    <row r="110" spans="1:13" ht="12.95" customHeight="1" x14ac:dyDescent="0.2">
      <c r="A110" s="391" t="s">
        <v>276</v>
      </c>
      <c r="B110" s="94">
        <f>Year1Weight*VLOOKUP("F",FringeTable,2,FALSE)+Year2Weight*VLOOKUP("F",FringeTable,3,FALSE)+Year3Weight*VLOOKUP("F",FringeTable,4,FALSE)</f>
        <v>0.28999999999999998</v>
      </c>
      <c r="C110" s="94">
        <f>Year1Weight*VLOOKUP("A",FringeTable,2,FALSE)+Year2Weight*VLOOKUP("A",FringeTable,3,FALSE)+Year3Weight*VLOOKUP("A",FringeTable,4,FALSE)</f>
        <v>0.35</v>
      </c>
      <c r="D110" s="94">
        <f>Year1Weight*VLOOKUP("A",FringeTable,2,FALSE)+Year2Weight*VLOOKUP("A",FringeTable,3,FALSE)+Year3Weight*VLOOKUP("A",FringeTable,4,FALSE)</f>
        <v>0.35</v>
      </c>
      <c r="E110" s="94">
        <f>Year1Weight*VLOOKUP("A",FringeTable,2,FALSE)+Year2Weight*VLOOKUP("A",FringeTable,3,FALSE)+Year3Weight*VLOOKUP("A",FringeTable,4,FALSE)</f>
        <v>0.35</v>
      </c>
      <c r="F110" s="94">
        <f>VLOOKUP("t",[0]!fringes,2,FALSE)</f>
        <v>0.22</v>
      </c>
      <c r="G110" s="94">
        <f>Year1Weight*VLOOKUP("P",FringeTable,2,FALSE)+Year2Weight*VLOOKUP("P",FringeTable,3,FALSE)+Year3Weight*VLOOKUP("P",FringeTable,4,FALSE)</f>
        <v>0.24</v>
      </c>
      <c r="H110" s="94">
        <f>VLOOKUP("r",[0]!fringes,2,FALSE)</f>
        <v>0.08</v>
      </c>
      <c r="I110" s="94">
        <f>VLOOKUP("s",[0]!fringes,2,FALSE)</f>
        <v>0.01</v>
      </c>
      <c r="J110" s="94">
        <f>VLOOKUP("w",[0]!fringes,2,FALSE)</f>
        <v>0.01</v>
      </c>
      <c r="K110" s="374" t="s">
        <v>257</v>
      </c>
      <c r="L110" s="51" t="str">
        <f>IF(SUM(B109:K109)=0,"",SUM(B109:K109))</f>
        <v/>
      </c>
      <c r="M110" s="377" t="s">
        <v>22</v>
      </c>
    </row>
    <row r="111" spans="1:13" ht="12.95" customHeight="1" x14ac:dyDescent="0.2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81" t="str">
        <f>IF(SUM(B111:K111)=0,"",SUM(B111:K111))</f>
        <v/>
      </c>
      <c r="M111" s="378" t="s">
        <v>81</v>
      </c>
    </row>
    <row r="112" spans="1:13" ht="12.95" customHeight="1" thickBot="1" x14ac:dyDescent="0.2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76" t="str">
        <f>IF(SUM(B112:K112)=0,"",SUM(B112:K112))</f>
        <v/>
      </c>
      <c r="M112" s="390" t="s">
        <v>275</v>
      </c>
    </row>
    <row r="113" spans="1:13" ht="12.95" customHeight="1" x14ac:dyDescent="0.2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92"/>
      <c r="M113" s="393"/>
    </row>
    <row r="114" spans="1:13" ht="21" customHeight="1" x14ac:dyDescent="0.2">
      <c r="A114" s="976" t="s">
        <v>274</v>
      </c>
      <c r="B114" s="975"/>
      <c r="C114" s="975"/>
      <c r="D114" s="975"/>
      <c r="E114" s="975"/>
      <c r="F114" s="975"/>
      <c r="G114" s="975"/>
      <c r="H114" s="975"/>
      <c r="I114" s="975"/>
      <c r="J114" s="975"/>
      <c r="K114" s="975"/>
      <c r="L114" s="975"/>
      <c r="M114" s="975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77" t="s">
        <v>138</v>
      </c>
      <c r="F117" s="973" t="str">
        <f>IF('Salary Detail'!E5=0,"",'Salary Detail'!E5)</f>
        <v/>
      </c>
      <c r="G117" s="920"/>
      <c r="H117" s="920"/>
      <c r="I117" s="920"/>
      <c r="J117" s="159"/>
      <c r="K117" s="159"/>
      <c r="L117" s="159"/>
    </row>
    <row r="118" spans="1:13" x14ac:dyDescent="0.2">
      <c r="E118" s="77" t="s">
        <v>8</v>
      </c>
      <c r="F118" s="973" t="str">
        <f>IF('Salary Detail'!E6=0,"",'Salary Detail'!E6)</f>
        <v/>
      </c>
      <c r="G118" s="920"/>
      <c r="H118" s="920"/>
      <c r="I118" s="920"/>
      <c r="J118" s="159"/>
      <c r="K118" s="159"/>
      <c r="L118" s="159"/>
      <c r="M118" s="78"/>
    </row>
    <row r="119" spans="1:13" x14ac:dyDescent="0.2">
      <c r="E119" s="77" t="s">
        <v>122</v>
      </c>
      <c r="F119" s="973" t="str">
        <f>IF('Salary Detail'!E7=0,"",'Salary Detail'!E7)</f>
        <v/>
      </c>
      <c r="G119" s="920"/>
      <c r="H119" s="920"/>
      <c r="I119" s="920"/>
      <c r="J119" s="147"/>
      <c r="K119" s="147"/>
      <c r="L119" s="147"/>
      <c r="M119" s="78"/>
    </row>
    <row r="120" spans="1:13" x14ac:dyDescent="0.2">
      <c r="E120" s="77" t="s">
        <v>10</v>
      </c>
      <c r="F120" s="973" t="str">
        <f>IF('Salary Detail'!E8=0,"",'Salary Detail'!E8)</f>
        <v/>
      </c>
      <c r="G120" s="920"/>
      <c r="H120" s="920"/>
      <c r="I120" s="920"/>
      <c r="J120" s="147"/>
      <c r="K120" s="147"/>
      <c r="L120" s="147"/>
    </row>
    <row r="121" spans="1:13" x14ac:dyDescent="0.2">
      <c r="A121" s="77"/>
      <c r="B121" s="62"/>
      <c r="C121" s="62"/>
      <c r="D121" s="62"/>
      <c r="G121" s="77"/>
      <c r="H121" s="7"/>
    </row>
    <row r="122" spans="1:13" x14ac:dyDescent="0.2">
      <c r="A122" s="386" t="s">
        <v>277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49"/>
      <c r="B123" s="50" t="s">
        <v>67</v>
      </c>
      <c r="C123" s="56" t="s">
        <v>270</v>
      </c>
      <c r="D123" s="56" t="s">
        <v>271</v>
      </c>
      <c r="E123" s="56" t="s">
        <v>269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249</v>
      </c>
      <c r="L123" s="56" t="s">
        <v>23</v>
      </c>
      <c r="M123" s="50" t="s">
        <v>46</v>
      </c>
    </row>
    <row r="124" spans="1:13" x14ac:dyDescent="0.2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.5" thickBot="1" x14ac:dyDescent="0.25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x14ac:dyDescent="0.2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80"/>
      <c r="M164" s="74">
        <f>SUM(M124:M163)</f>
        <v>0</v>
      </c>
    </row>
    <row r="165" spans="1:13" x14ac:dyDescent="0.2">
      <c r="A165" s="391" t="s">
        <v>279</v>
      </c>
      <c r="B165" s="94">
        <f>Year1Weight*VLOOKUP("F",FringeTable,2,FALSE)+Year2Weight*VLOOKUP("F",FringeTable,3,FALSE)+Year3Weight*VLOOKUP("F",FringeTable,4,FALSE)</f>
        <v>0.28999999999999998</v>
      </c>
      <c r="C165" s="94">
        <f>Year1Weight*VLOOKUP("A",FringeTable,2,FALSE)+Year2Weight*VLOOKUP("A",FringeTable,3,FALSE)+Year3Weight*VLOOKUP("A",FringeTable,4,FALSE)</f>
        <v>0.35</v>
      </c>
      <c r="D165" s="94">
        <f>Year1Weight*VLOOKUP("A",FringeTable,2,FALSE)+Year2Weight*VLOOKUP("A",FringeTable,3,FALSE)+Year3Weight*VLOOKUP("A",FringeTable,4,FALSE)</f>
        <v>0.35</v>
      </c>
      <c r="E165" s="94">
        <f>Year1Weight*VLOOKUP("A",FringeTable,2,FALSE)+Year2Weight*VLOOKUP("A",FringeTable,3,FALSE)+Year3Weight*VLOOKUP("A",FringeTable,4,FALSE)</f>
        <v>0.35</v>
      </c>
      <c r="F165" s="94">
        <f>VLOOKUP("t",[0]!fringes,2,FALSE)</f>
        <v>0.22</v>
      </c>
      <c r="G165" s="94">
        <f>Year1Weight*VLOOKUP("P",FringeTable,2,FALSE)+Year2Weight*VLOOKUP("P",FringeTable,3,FALSE)+Year3Weight*VLOOKUP("P",FringeTable,4,FALSE)</f>
        <v>0.24</v>
      </c>
      <c r="H165" s="94">
        <f>VLOOKUP("r",[0]!fringes,2,FALSE)</f>
        <v>0.08</v>
      </c>
      <c r="I165" s="94">
        <f>VLOOKUP("s",[0]!fringes,2,FALSE)</f>
        <v>0.01</v>
      </c>
      <c r="J165" s="94">
        <f>VLOOKUP("w",[0]!fringes,2,FALSE)</f>
        <v>0.01</v>
      </c>
      <c r="K165" s="374" t="s">
        <v>257</v>
      </c>
      <c r="L165" s="51">
        <f>SUM(B164:K164)</f>
        <v>0</v>
      </c>
      <c r="M165" s="377" t="s">
        <v>22</v>
      </c>
    </row>
    <row r="166" spans="1:13" x14ac:dyDescent="0.2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81">
        <f>SUM(B166:K166)</f>
        <v>0</v>
      </c>
      <c r="M166" s="378" t="s">
        <v>81</v>
      </c>
    </row>
    <row r="167" spans="1:13" ht="13.5" thickBot="1" x14ac:dyDescent="0.2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76">
        <f>SUM(B167:K167)</f>
        <v>0</v>
      </c>
      <c r="M167" s="390" t="s">
        <v>278</v>
      </c>
    </row>
    <row r="168" spans="1:13" x14ac:dyDescent="0.2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x14ac:dyDescent="0.2">
      <c r="A169" s="976" t="s">
        <v>274</v>
      </c>
      <c r="B169" s="975"/>
      <c r="C169" s="975"/>
      <c r="D169" s="975"/>
      <c r="E169" s="975"/>
      <c r="F169" s="975"/>
      <c r="G169" s="975"/>
      <c r="H169" s="975"/>
      <c r="I169" s="975"/>
      <c r="J169" s="975"/>
      <c r="K169" s="975"/>
      <c r="L169" s="975"/>
      <c r="M169" s="975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77" t="s">
        <v>138</v>
      </c>
      <c r="F172" s="973" t="str">
        <f>IF('Salary Detail'!E5=0,"",'Salary Detail'!E5)</f>
        <v/>
      </c>
      <c r="G172" s="920"/>
      <c r="H172" s="920"/>
      <c r="I172" s="920"/>
      <c r="J172" s="159"/>
      <c r="K172" s="159"/>
      <c r="L172" s="159"/>
    </row>
    <row r="173" spans="1:13" x14ac:dyDescent="0.2">
      <c r="E173" s="77" t="s">
        <v>8</v>
      </c>
      <c r="F173" s="973" t="str">
        <f>IF('Salary Detail'!E6=0,"",'Salary Detail'!E6)</f>
        <v/>
      </c>
      <c r="G173" s="920"/>
      <c r="H173" s="920"/>
      <c r="I173" s="920"/>
      <c r="J173" s="159"/>
      <c r="K173" s="159"/>
      <c r="L173" s="159"/>
      <c r="M173" s="78"/>
    </row>
    <row r="174" spans="1:13" x14ac:dyDescent="0.2">
      <c r="E174" s="77" t="s">
        <v>122</v>
      </c>
      <c r="F174" s="973" t="str">
        <f>IF('Salary Detail'!E7=0,"",'Salary Detail'!E7)</f>
        <v/>
      </c>
      <c r="G174" s="920"/>
      <c r="H174" s="920"/>
      <c r="I174" s="920"/>
      <c r="J174" s="147"/>
      <c r="K174" s="147"/>
      <c r="L174" s="147"/>
      <c r="M174" s="78"/>
    </row>
    <row r="175" spans="1:13" x14ac:dyDescent="0.2">
      <c r="E175" s="77" t="s">
        <v>10</v>
      </c>
      <c r="F175" s="973" t="str">
        <f>IF('Salary Detail'!E8=0,"",'Salary Detail'!E8)</f>
        <v/>
      </c>
      <c r="G175" s="920"/>
      <c r="H175" s="920"/>
      <c r="I175" s="920"/>
      <c r="J175" s="147"/>
      <c r="K175" s="147"/>
      <c r="L175" s="147"/>
    </row>
    <row r="176" spans="1:13" x14ac:dyDescent="0.2">
      <c r="A176" s="77"/>
      <c r="B176" s="62"/>
      <c r="C176" s="62"/>
      <c r="D176" s="62"/>
      <c r="G176" s="77"/>
      <c r="H176" s="7"/>
    </row>
    <row r="177" spans="1:13" x14ac:dyDescent="0.2">
      <c r="A177" s="386" t="s">
        <v>280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49"/>
      <c r="B178" s="50" t="s">
        <v>67</v>
      </c>
      <c r="C178" s="56" t="s">
        <v>270</v>
      </c>
      <c r="D178" s="56" t="s">
        <v>271</v>
      </c>
      <c r="E178" s="56" t="s">
        <v>269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249</v>
      </c>
      <c r="L178" s="56" t="s">
        <v>23</v>
      </c>
      <c r="M178" s="50" t="s">
        <v>46</v>
      </c>
    </row>
    <row r="179" spans="1:13" x14ac:dyDescent="0.2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.5" thickBot="1" x14ac:dyDescent="0.25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x14ac:dyDescent="0.2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80"/>
      <c r="M219" s="74">
        <f>SUM(M179:M218)</f>
        <v>0</v>
      </c>
    </row>
    <row r="220" spans="1:13" x14ac:dyDescent="0.2">
      <c r="A220" s="391" t="s">
        <v>281</v>
      </c>
      <c r="B220" s="94">
        <f>Year1Weight*VLOOKUP("F",FringeTable,2,FALSE)+Year2Weight*VLOOKUP("F",FringeTable,3,FALSE)+Year3Weight*VLOOKUP("F",FringeTable,4,FALSE)</f>
        <v>0.28999999999999998</v>
      </c>
      <c r="C220" s="94">
        <f>Year1Weight*VLOOKUP("A",FringeTable,2,FALSE)+Year2Weight*VLOOKUP("A",FringeTable,3,FALSE)+Year3Weight*VLOOKUP("A",FringeTable,4,FALSE)</f>
        <v>0.35</v>
      </c>
      <c r="D220" s="94">
        <f>Year1Weight*VLOOKUP("A",FringeTable,2,FALSE)+Year2Weight*VLOOKUP("A",FringeTable,3,FALSE)+Year3Weight*VLOOKUP("A",FringeTable,4,FALSE)</f>
        <v>0.35</v>
      </c>
      <c r="E220" s="94">
        <f>Year1Weight*VLOOKUP("A",FringeTable,2,FALSE)+Year2Weight*VLOOKUP("A",FringeTable,3,FALSE)+Year3Weight*VLOOKUP("A",FringeTable,4,FALSE)</f>
        <v>0.35</v>
      </c>
      <c r="F220" s="94">
        <f>VLOOKUP("t",[0]!fringes,2,FALSE)</f>
        <v>0.22</v>
      </c>
      <c r="G220" s="94">
        <f>Year1Weight*VLOOKUP("P",FringeTable,2,FALSE)+Year2Weight*VLOOKUP("P",FringeTable,3,FALSE)+Year3Weight*VLOOKUP("P",FringeTable,4,FALSE)</f>
        <v>0.24</v>
      </c>
      <c r="H220" s="94">
        <f>VLOOKUP("r",[0]!fringes,2,FALSE)</f>
        <v>0.08</v>
      </c>
      <c r="I220" s="94">
        <f>VLOOKUP("s",[0]!fringes,2,FALSE)</f>
        <v>0.01</v>
      </c>
      <c r="J220" s="94">
        <f>VLOOKUP("w",[0]!fringes,2,FALSE)</f>
        <v>0.01</v>
      </c>
      <c r="K220" s="374" t="s">
        <v>257</v>
      </c>
      <c r="L220" s="51">
        <f>SUM(B219:K219)</f>
        <v>0</v>
      </c>
      <c r="M220" s="377" t="s">
        <v>22</v>
      </c>
    </row>
    <row r="221" spans="1:13" x14ac:dyDescent="0.2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81">
        <f>SUM(B221:K221)</f>
        <v>0</v>
      </c>
      <c r="M221" s="378" t="s">
        <v>81</v>
      </c>
    </row>
    <row r="222" spans="1:13" ht="13.5" thickBot="1" x14ac:dyDescent="0.2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76">
        <f>SUM(B222:K222)</f>
        <v>0</v>
      </c>
      <c r="M222" s="390" t="s">
        <v>282</v>
      </c>
    </row>
    <row r="223" spans="1:13" x14ac:dyDescent="0.2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x14ac:dyDescent="0.2">
      <c r="A224" s="976" t="s">
        <v>274</v>
      </c>
      <c r="B224" s="975"/>
      <c r="C224" s="975"/>
      <c r="D224" s="975"/>
      <c r="E224" s="975"/>
      <c r="F224" s="975"/>
      <c r="G224" s="975"/>
      <c r="H224" s="975"/>
      <c r="I224" s="975"/>
      <c r="J224" s="975"/>
      <c r="K224" s="975"/>
      <c r="L224" s="975"/>
      <c r="M224" s="975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77" t="s">
        <v>138</v>
      </c>
      <c r="F227" s="973" t="str">
        <f>IF('Salary Detail'!E5=0,"",'Salary Detail'!E5)</f>
        <v/>
      </c>
      <c r="G227" s="920"/>
      <c r="H227" s="920"/>
      <c r="I227" s="920"/>
      <c r="J227" s="159"/>
      <c r="K227" s="159"/>
      <c r="L227" s="159"/>
    </row>
    <row r="228" spans="1:13" x14ac:dyDescent="0.2">
      <c r="E228" s="77" t="s">
        <v>8</v>
      </c>
      <c r="F228" s="973" t="str">
        <f>IF('Salary Detail'!E6=0,"",'Salary Detail'!E6)</f>
        <v/>
      </c>
      <c r="G228" s="920"/>
      <c r="H228" s="920"/>
      <c r="I228" s="920"/>
      <c r="J228" s="159"/>
      <c r="K228" s="159"/>
      <c r="L228" s="159"/>
      <c r="M228" s="78"/>
    </row>
    <row r="229" spans="1:13" x14ac:dyDescent="0.2">
      <c r="E229" s="77" t="s">
        <v>122</v>
      </c>
      <c r="F229" s="973" t="str">
        <f>IF('Salary Detail'!E7=0,"",'Salary Detail'!E7)</f>
        <v/>
      </c>
      <c r="G229" s="920"/>
      <c r="H229" s="920"/>
      <c r="I229" s="920"/>
      <c r="J229" s="147"/>
      <c r="K229" s="147"/>
      <c r="L229" s="147"/>
      <c r="M229" s="78"/>
    </row>
    <row r="230" spans="1:13" x14ac:dyDescent="0.2">
      <c r="E230" s="77" t="s">
        <v>10</v>
      </c>
      <c r="F230" s="973" t="str">
        <f>IF('Salary Detail'!E8=0,"",'Salary Detail'!E8)</f>
        <v/>
      </c>
      <c r="G230" s="920"/>
      <c r="H230" s="920"/>
      <c r="I230" s="920"/>
      <c r="J230" s="147"/>
      <c r="K230" s="147"/>
      <c r="L230" s="147"/>
    </row>
    <row r="231" spans="1:13" x14ac:dyDescent="0.2">
      <c r="A231" s="77"/>
      <c r="B231" s="62"/>
      <c r="C231" s="62"/>
      <c r="D231" s="62"/>
      <c r="G231" s="77"/>
      <c r="H231" s="7"/>
    </row>
    <row r="232" spans="1:13" x14ac:dyDescent="0.2">
      <c r="A232" s="386" t="s">
        <v>283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49"/>
      <c r="B233" s="50" t="s">
        <v>67</v>
      </c>
      <c r="C233" s="56" t="s">
        <v>270</v>
      </c>
      <c r="D233" s="56" t="s">
        <v>271</v>
      </c>
      <c r="E233" s="56" t="s">
        <v>269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249</v>
      </c>
      <c r="L233" s="56" t="s">
        <v>23</v>
      </c>
      <c r="M233" s="50" t="s">
        <v>46</v>
      </c>
    </row>
    <row r="234" spans="1:13" x14ac:dyDescent="0.2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.5" thickBot="1" x14ac:dyDescent="0.25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x14ac:dyDescent="0.2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80"/>
      <c r="M274" s="74">
        <f>SUM(M234:M273)</f>
        <v>0</v>
      </c>
    </row>
    <row r="275" spans="1:13" x14ac:dyDescent="0.2">
      <c r="A275" s="391" t="s">
        <v>284</v>
      </c>
      <c r="B275" s="94">
        <f>Year1Weight*VLOOKUP("F",FringeTable,2,FALSE)+Year2Weight*VLOOKUP("F",FringeTable,3,FALSE)+Year3Weight*VLOOKUP("F",FringeTable,4,FALSE)</f>
        <v>0.28999999999999998</v>
      </c>
      <c r="C275" s="94">
        <f>Year1Weight*VLOOKUP("A",FringeTable,2,FALSE)+Year2Weight*VLOOKUP("A",FringeTable,3,FALSE)+Year3Weight*VLOOKUP("A",FringeTable,4,FALSE)</f>
        <v>0.35</v>
      </c>
      <c r="D275" s="94">
        <f>Year1Weight*VLOOKUP("A",FringeTable,2,FALSE)+Year2Weight*VLOOKUP("A",FringeTable,3,FALSE)+Year3Weight*VLOOKUP("A",FringeTable,4,FALSE)</f>
        <v>0.35</v>
      </c>
      <c r="E275" s="94">
        <f>Year1Weight*VLOOKUP("A",FringeTable,2,FALSE)+Year2Weight*VLOOKUP("A",FringeTable,3,FALSE)+Year3Weight*VLOOKUP("A",FringeTable,4,FALSE)</f>
        <v>0.35</v>
      </c>
      <c r="F275" s="94">
        <f>VLOOKUP("t",[0]!fringes,2,FALSE)</f>
        <v>0.22</v>
      </c>
      <c r="G275" s="94">
        <f>Year1Weight*VLOOKUP("P",FringeTable,2,FALSE)+Year2Weight*VLOOKUP("P",FringeTable,3,FALSE)+Year3Weight*VLOOKUP("P",FringeTable,4,FALSE)</f>
        <v>0.24</v>
      </c>
      <c r="H275" s="94">
        <f>VLOOKUP("r",[0]!fringes,2,FALSE)</f>
        <v>0.08</v>
      </c>
      <c r="I275" s="94">
        <f>VLOOKUP("s",[0]!fringes,2,FALSE)</f>
        <v>0.01</v>
      </c>
      <c r="J275" s="94">
        <f>VLOOKUP("w",[0]!fringes,2,FALSE)</f>
        <v>0.01</v>
      </c>
      <c r="K275" s="374" t="s">
        <v>257</v>
      </c>
      <c r="L275" s="51">
        <f>SUM(B274:K274)</f>
        <v>0</v>
      </c>
      <c r="M275" s="377" t="s">
        <v>22</v>
      </c>
    </row>
    <row r="276" spans="1:13" x14ac:dyDescent="0.2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81">
        <f>SUM(B276:K276)</f>
        <v>0</v>
      </c>
      <c r="M276" s="378" t="s">
        <v>81</v>
      </c>
    </row>
    <row r="277" spans="1:13" ht="13.5" thickBot="1" x14ac:dyDescent="0.2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76">
        <f>SUM(B277:K277)</f>
        <v>0</v>
      </c>
      <c r="M277" s="390" t="s">
        <v>285</v>
      </c>
    </row>
    <row r="278" spans="1:13" x14ac:dyDescent="0.2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x14ac:dyDescent="0.2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x14ac:dyDescent="0.2">
      <c r="A280" s="974" t="s">
        <v>0</v>
      </c>
      <c r="B280" s="975"/>
      <c r="C280" s="975"/>
      <c r="D280" s="975"/>
      <c r="E280" s="975"/>
      <c r="F280" s="975"/>
      <c r="G280" s="975"/>
      <c r="H280" s="975"/>
      <c r="I280" s="975"/>
      <c r="J280" s="975"/>
      <c r="K280" s="975"/>
      <c r="L280" s="975"/>
      <c r="M280" s="975"/>
    </row>
    <row r="281" spans="1:13" x14ac:dyDescent="0.2">
      <c r="A281" s="974" t="s">
        <v>65</v>
      </c>
      <c r="B281" s="975"/>
      <c r="C281" s="975"/>
      <c r="D281" s="975"/>
      <c r="E281" s="975"/>
      <c r="F281" s="975"/>
      <c r="G281" s="975"/>
      <c r="H281" s="975"/>
      <c r="I281" s="975"/>
      <c r="J281" s="975"/>
      <c r="K281" s="975"/>
      <c r="L281" s="975"/>
      <c r="M281" s="975"/>
    </row>
    <row r="282" spans="1:13" x14ac:dyDescent="0.2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">
      <c r="E283" s="77" t="s">
        <v>138</v>
      </c>
      <c r="F283" s="973" t="str">
        <f>IF('Salary Detail'!E5=0,"",'Salary Detail'!E5)</f>
        <v/>
      </c>
      <c r="G283" s="920"/>
      <c r="H283" s="920"/>
      <c r="I283" s="920"/>
      <c r="J283" s="147"/>
      <c r="K283" s="147"/>
      <c r="L283" s="147"/>
    </row>
    <row r="284" spans="1:13" x14ac:dyDescent="0.2">
      <c r="E284" s="77" t="s">
        <v>8</v>
      </c>
      <c r="F284" s="973" t="str">
        <f>IF('Salary Detail'!E6=0,"",'Salary Detail'!E6)</f>
        <v/>
      </c>
      <c r="G284" s="920"/>
      <c r="H284" s="920"/>
      <c r="I284" s="920"/>
      <c r="J284" s="147"/>
      <c r="K284" s="147"/>
      <c r="L284" s="147"/>
      <c r="M284" s="78"/>
    </row>
    <row r="285" spans="1:13" x14ac:dyDescent="0.2">
      <c r="E285" s="77" t="s">
        <v>122</v>
      </c>
      <c r="F285" s="973" t="str">
        <f>IF('Salary Detail'!E7=0,"",'Salary Detail'!E7)</f>
        <v/>
      </c>
      <c r="G285" s="920"/>
      <c r="H285" s="920"/>
      <c r="I285" s="920"/>
      <c r="J285" s="147"/>
      <c r="K285" s="147"/>
      <c r="L285" s="147"/>
      <c r="M285" s="78"/>
    </row>
    <row r="286" spans="1:13" x14ac:dyDescent="0.2">
      <c r="E286" s="77" t="s">
        <v>10</v>
      </c>
      <c r="F286" s="973" t="str">
        <f>IF('Salary Detail'!E8=0,"",'Salary Detail'!E8)</f>
        <v/>
      </c>
      <c r="G286" s="920"/>
      <c r="H286" s="920"/>
      <c r="I286" s="920"/>
      <c r="J286" s="147"/>
      <c r="K286" s="147"/>
      <c r="L286" s="147"/>
    </row>
    <row r="287" spans="1:13" x14ac:dyDescent="0.2">
      <c r="A287" s="77"/>
      <c r="B287" s="62"/>
      <c r="C287" s="62"/>
      <c r="D287" s="62"/>
      <c r="G287" s="77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49"/>
      <c r="B289" s="50" t="s">
        <v>67</v>
      </c>
      <c r="C289" s="56" t="s">
        <v>270</v>
      </c>
      <c r="D289" s="56" t="s">
        <v>271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249</v>
      </c>
      <c r="L289" s="56" t="s">
        <v>23</v>
      </c>
      <c r="M289" s="50" t="s">
        <v>46</v>
      </c>
    </row>
    <row r="290" spans="1:13" x14ac:dyDescent="0.2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.5" thickBot="1" x14ac:dyDescent="0.25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25">
      <c r="A330" s="361" t="s">
        <v>252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60"/>
      <c r="M330" s="362"/>
    </row>
    <row r="331" spans="1:13" x14ac:dyDescent="0.2">
      <c r="A331" s="366"/>
      <c r="B331" s="363"/>
      <c r="C331" s="363"/>
      <c r="D331" s="363"/>
      <c r="E331" s="363"/>
      <c r="F331" s="363"/>
      <c r="G331" s="363"/>
      <c r="H331" s="363"/>
      <c r="I331" s="363"/>
      <c r="J331" s="363"/>
      <c r="K331" s="363"/>
      <c r="L331" s="367" t="s">
        <v>251</v>
      </c>
      <c r="M331" s="364">
        <f>SUM(B330:K330)</f>
        <v>0</v>
      </c>
    </row>
    <row r="332" spans="1:13" x14ac:dyDescent="0.2">
      <c r="A332" s="57" t="s">
        <v>253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73"/>
      <c r="M332" s="373"/>
    </row>
    <row r="333" spans="1:13" x14ac:dyDescent="0.2">
      <c r="A333" s="370"/>
      <c r="B333" s="371"/>
      <c r="C333" s="371"/>
      <c r="D333" s="371"/>
      <c r="E333" s="371"/>
      <c r="F333" s="371"/>
      <c r="G333" s="371"/>
      <c r="H333" s="371"/>
      <c r="I333" s="372"/>
      <c r="J333" s="371"/>
      <c r="K333" s="371"/>
      <c r="L333" s="368" t="s">
        <v>255</v>
      </c>
      <c r="M333" s="364">
        <f>SUM(B332:K332)</f>
        <v>0</v>
      </c>
    </row>
    <row r="334" spans="1:13" ht="13.5" thickBot="1" x14ac:dyDescent="0.25">
      <c r="A334" s="375" t="s">
        <v>258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9" t="s">
        <v>256</v>
      </c>
      <c r="M334" s="364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65" t="s">
        <v>250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ZnzLwP1JdOW8cS3Z8jAIe3YnuyEUDbKG1RBOu2VaVQlbrwiHKR+MHQwRlykGQN5YdOTBYkzsXW8PYXrTuVxvtg==" saltValue="qBWg+Dii7j6mzUxha3EPEA==" spinCount="100000" sheet="1" objects="1" scenarios="1"/>
  <mergeCells count="31">
    <mergeCell ref="F174:I174"/>
    <mergeCell ref="F175:I175"/>
    <mergeCell ref="F228:I228"/>
    <mergeCell ref="F229:I229"/>
    <mergeCell ref="F230:I230"/>
    <mergeCell ref="F65:I65"/>
    <mergeCell ref="F118:I118"/>
    <mergeCell ref="F119:I119"/>
    <mergeCell ref="F120:I120"/>
    <mergeCell ref="F173:I173"/>
    <mergeCell ref="F7:I7"/>
    <mergeCell ref="F8:I8"/>
    <mergeCell ref="F9:I9"/>
    <mergeCell ref="F63:I63"/>
    <mergeCell ref="F64:I64"/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FB00CE-04DF-4BEC-A76F-E6D54FFB7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C82A16-94B0-4C24-9AFD-AA75BA8AE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9E0E9-8B00-4558-80EB-C224C1A6426C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Administrator</cp:lastModifiedBy>
  <cp:lastPrinted>2017-02-21T19:04:25Z</cp:lastPrinted>
  <dcterms:created xsi:type="dcterms:W3CDTF">1998-03-23T23:40:46Z</dcterms:created>
  <dcterms:modified xsi:type="dcterms:W3CDTF">2022-03-18T21:22:11Z</dcterms:modified>
</cp:coreProperties>
</file>